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068" windowHeight="9432" activeTab="3"/>
  </bookViews>
  <sheets>
    <sheet name="Intro" sheetId="3" r:id="rId1"/>
    <sheet name="A1" sheetId="1" r:id="rId2"/>
    <sheet name="A2" sheetId="2" r:id="rId3"/>
    <sheet name="B1" sheetId="4" r:id="rId4"/>
  </sheets>
  <definedNames>
    <definedName name="_ftn1" localSheetId="2">'A2'!#REF!</definedName>
    <definedName name="_ftnref1" localSheetId="2">'A2'!$B$9</definedName>
    <definedName name="OLE_LINK1" localSheetId="2">'A2'!$B$11</definedName>
  </definedNames>
  <calcPr calcId="145621"/>
</workbook>
</file>

<file path=xl/calcChain.xml><?xml version="1.0" encoding="utf-8"?>
<calcChain xmlns="http://schemas.openxmlformats.org/spreadsheetml/2006/main">
  <c r="K29" i="4" l="1"/>
  <c r="K33" i="4"/>
  <c r="B22" i="1" l="1"/>
  <c r="B25" i="2" l="1"/>
  <c r="K14" i="4" l="1"/>
  <c r="K13" i="4"/>
  <c r="K7" i="4"/>
  <c r="M33" i="4"/>
  <c r="L33" i="4"/>
  <c r="D14" i="4"/>
  <c r="C18" i="2"/>
  <c r="C31" i="2" s="1"/>
  <c r="C17" i="2"/>
  <c r="E14" i="4"/>
  <c r="K21" i="4"/>
  <c r="E21" i="4"/>
  <c r="E29" i="4"/>
  <c r="N29" i="4"/>
  <c r="N7" i="4"/>
  <c r="N14" i="4"/>
  <c r="N33" i="4"/>
  <c r="N13" i="4"/>
  <c r="N21" i="4"/>
  <c r="L29" i="4"/>
  <c r="L7" i="4"/>
  <c r="L13" i="4"/>
  <c r="L14" i="4"/>
  <c r="L21" i="4"/>
  <c r="M29" i="4"/>
  <c r="M7" i="4"/>
  <c r="M13" i="4"/>
  <c r="M14" i="4"/>
  <c r="M21" i="4"/>
  <c r="G5" i="1"/>
  <c r="G22" i="1"/>
  <c r="C7" i="4"/>
  <c r="C13" i="4"/>
  <c r="D21" i="4"/>
  <c r="D29" i="4"/>
  <c r="C21" i="2"/>
  <c r="D38" i="2" s="1"/>
  <c r="C20" i="2"/>
  <c r="D36" i="2" s="1"/>
  <c r="C19" i="2"/>
  <c r="C33" i="2" s="1"/>
  <c r="G13" i="1"/>
  <c r="G15" i="1"/>
  <c r="G18" i="1"/>
  <c r="D32" i="2"/>
  <c r="G17" i="1"/>
  <c r="G11" i="1"/>
  <c r="D34" i="2"/>
  <c r="G9" i="1"/>
  <c r="G7" i="1"/>
  <c r="C35" i="2" l="1"/>
  <c r="D30" i="2"/>
  <c r="C29" i="2"/>
  <c r="G19" i="1"/>
  <c r="C37" i="2"/>
</calcChain>
</file>

<file path=xl/sharedStrings.xml><?xml version="1.0" encoding="utf-8"?>
<sst xmlns="http://schemas.openxmlformats.org/spreadsheetml/2006/main" count="133" uniqueCount="110">
  <si>
    <t>Wind</t>
  </si>
  <si>
    <t>MG-Si</t>
  </si>
  <si>
    <t>kg</t>
  </si>
  <si>
    <t>CZ-Si</t>
  </si>
  <si>
    <t>wafer</t>
  </si>
  <si>
    <t>cell</t>
  </si>
  <si>
    <t>panel</t>
  </si>
  <si>
    <t>kWh/kg(MG-Si)</t>
  </si>
  <si>
    <t>kWh/kg(CZ-Si)</t>
  </si>
  <si>
    <t>check</t>
  </si>
  <si>
    <r>
      <t>NO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 xml:space="preserve"> [kg/kWh]</t>
    </r>
  </si>
  <si>
    <r>
      <t>PM</t>
    </r>
    <r>
      <rPr>
        <vertAlign val="subscript"/>
        <sz val="10"/>
        <rFont val="Arial"/>
        <family val="2"/>
      </rPr>
      <t>2.5</t>
    </r>
    <r>
      <rPr>
        <sz val="10"/>
        <rFont val="Arial"/>
        <family val="2"/>
      </rPr>
      <t xml:space="preserve"> [kg/kWh]</t>
    </r>
  </si>
  <si>
    <t>NMVOC [kg/kWh]</t>
  </si>
  <si>
    <r>
      <t>kg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-equiv.)/plant</t>
    </r>
  </si>
  <si>
    <r>
      <t>kg (SO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)/plant</t>
    </r>
  </si>
  <si>
    <r>
      <t>kg (NO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>)/plant</t>
    </r>
  </si>
  <si>
    <r>
      <t>kg (PM</t>
    </r>
    <r>
      <rPr>
        <vertAlign val="subscript"/>
        <sz val="10"/>
        <rFont val="Arial"/>
        <family val="2"/>
      </rPr>
      <t>2.5</t>
    </r>
    <r>
      <rPr>
        <sz val="10"/>
        <rFont val="Arial"/>
        <family val="2"/>
      </rPr>
      <t>)/plant</t>
    </r>
  </si>
  <si>
    <t>kg (NMVOC)/plant</t>
  </si>
  <si>
    <t>kg (NMVOC)/kWh(PV)</t>
  </si>
  <si>
    <r>
      <t>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[kg/kWh]</t>
    </r>
  </si>
  <si>
    <t>Share of single production steps in total direct electricity consumption:</t>
  </si>
  <si>
    <t>Total direct electricity consumption</t>
  </si>
  <si>
    <t>Share</t>
  </si>
  <si>
    <t>Emissions</t>
  </si>
  <si>
    <t>Cumulative emissions due to direct electricity consumption</t>
  </si>
  <si>
    <t>per kWh electricity produced</t>
  </si>
  <si>
    <t>Lignite</t>
  </si>
  <si>
    <t>Oil</t>
  </si>
  <si>
    <t>Natural Gas</t>
  </si>
  <si>
    <t>Nuclear</t>
  </si>
  <si>
    <t>Hydro Power</t>
  </si>
  <si>
    <t>Hard Coal</t>
  </si>
  <si>
    <t>SG-Si</t>
  </si>
  <si>
    <t>kg(SG-Si)/kg(CZ-Si)</t>
  </si>
  <si>
    <r>
      <t>kg(CZ-Si)/m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wafer</t>
    </r>
  </si>
  <si>
    <r>
      <t>wafer/m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cell</t>
    </r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</si>
  <si>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wafer</t>
    </r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</si>
  <si>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cell</t>
    </r>
  </si>
  <si>
    <r>
      <t>kWh/m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panel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</si>
  <si>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wafer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</si>
  <si>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cell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</si>
  <si>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panel</t>
    </r>
  </si>
  <si>
    <t>kWh/inverter</t>
  </si>
  <si>
    <t>kg(MG-Si)/kg(SG-Si)</t>
  </si>
  <si>
    <t>kWh/kg(SG-Si)</t>
  </si>
  <si>
    <t>Solution A1</t>
  </si>
  <si>
    <t>Solution A2</t>
  </si>
  <si>
    <r>
      <t>GHG [kg(CO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-equiv.)/kWh]</t>
    </r>
  </si>
  <si>
    <r>
      <t>kg(CO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-equiv.)/kWh</t>
    </r>
  </si>
  <si>
    <r>
      <t>kg(SO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)/kWh</t>
    </r>
  </si>
  <si>
    <r>
      <t>kg(NO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>)/kWh</t>
    </r>
  </si>
  <si>
    <r>
      <t>kg(PM</t>
    </r>
    <r>
      <rPr>
        <vertAlign val="subscript"/>
        <sz val="10"/>
        <rFont val="Arial"/>
        <family val="2"/>
      </rPr>
      <t>2.5</t>
    </r>
    <r>
      <rPr>
        <sz val="10"/>
        <rFont val="Arial"/>
        <family val="2"/>
      </rPr>
      <t>)/kWh</t>
    </r>
  </si>
  <si>
    <t>kg(NMVOC)/kWh</t>
  </si>
  <si>
    <t xml:space="preserve">Nuclear </t>
  </si>
  <si>
    <t>Hydro</t>
  </si>
  <si>
    <t>Production Costs</t>
  </si>
  <si>
    <t>Resources</t>
  </si>
  <si>
    <t>Geopolitical factors</t>
  </si>
  <si>
    <t>Long-term sustainability: Energetic</t>
  </si>
  <si>
    <t>Long-term sustainability: Non-energetic (Cu)</t>
  </si>
  <si>
    <t>Peak load response</t>
  </si>
  <si>
    <t>Total Scoring (scale of merit)</t>
  </si>
  <si>
    <t>Solution to exercise 13</t>
  </si>
  <si>
    <r>
      <t>The following worksheets show the solution of the exercises 13. Results are shown in</t>
    </r>
    <r>
      <rPr>
        <sz val="10"/>
        <color indexed="11"/>
        <rFont val="Arial"/>
        <family val="2"/>
      </rPr>
      <t/>
    </r>
  </si>
  <si>
    <t>green.</t>
  </si>
  <si>
    <r>
      <t>kg (CO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-equiv.)/kWh(PV)</t>
    </r>
  </si>
  <si>
    <r>
      <t>kg (SO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)/kWh(PV)</t>
    </r>
  </si>
  <si>
    <r>
      <t>kg (NO</t>
    </r>
    <r>
      <rPr>
        <b/>
        <i/>
        <vertAlign val="subscript"/>
        <sz val="10"/>
        <rFont val="Arial"/>
        <family val="2"/>
      </rPr>
      <t>x</t>
    </r>
    <r>
      <rPr>
        <b/>
        <i/>
        <sz val="10"/>
        <rFont val="Arial"/>
        <family val="2"/>
      </rPr>
      <t>)/kWh(PV)</t>
    </r>
  </si>
  <si>
    <t>Financial requirements</t>
  </si>
  <si>
    <t>ECONOMY</t>
  </si>
  <si>
    <t>Weighting Factors Level 3</t>
  </si>
  <si>
    <t>Weighting Factors Level 2</t>
  </si>
  <si>
    <t>Availability (load factor)</t>
  </si>
  <si>
    <t>Fuel price increase sensitivity</t>
  </si>
  <si>
    <t>CO2-equivalents</t>
  </si>
  <si>
    <t>Change in unprotected ecosystem area</t>
  </si>
  <si>
    <t>Land use</t>
  </si>
  <si>
    <t>Waste mass</t>
  </si>
  <si>
    <t>Fatalities in an accident</t>
  </si>
  <si>
    <t>ENVIRONMENT</t>
  </si>
  <si>
    <t>Proliferation potential</t>
  </si>
  <si>
    <t>Technology-specific job opportunities</t>
  </si>
  <si>
    <t>Mortality (reduced life-expectancy)</t>
  </si>
  <si>
    <t>Noise, visual amenity</t>
  </si>
  <si>
    <t>"Necessary" confinement time</t>
  </si>
  <si>
    <t>Maximum credible number of fatalities per accident</t>
  </si>
  <si>
    <t>SOCIETY</t>
  </si>
  <si>
    <t>Weighting Factors Level 1</t>
  </si>
  <si>
    <t>Solution B1</t>
  </si>
  <si>
    <t>kWh(PV)</t>
  </si>
  <si>
    <t>kWh/(5kWp plant)</t>
  </si>
  <si>
    <t>inverters/(5kWp plant)</t>
  </si>
  <si>
    <t>5kWp plant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</si>
  <si>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panel/(5kWp plant)</t>
    </r>
  </si>
  <si>
    <t>per 5 kWp PV-unit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</si>
  <si>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cells/m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panel</t>
    </r>
  </si>
  <si>
    <r>
      <t>kg (PM</t>
    </r>
    <r>
      <rPr>
        <b/>
        <i/>
        <vertAlign val="subscript"/>
        <sz val="10"/>
        <rFont val="Arial"/>
        <family val="2"/>
      </rPr>
      <t>2.5</t>
    </r>
    <r>
      <rPr>
        <b/>
        <i/>
        <sz val="10"/>
        <rFont val="Arial"/>
        <family val="2"/>
      </rPr>
      <t>)/kWh(PV)</t>
    </r>
  </si>
  <si>
    <t>Photovoltaic yield, Switzerland, Middle-Lands</t>
  </si>
  <si>
    <t>kWh/(year*kWp)</t>
  </si>
  <si>
    <t>Total(lifetime)  electricity production of the 5 kWp PV plant</t>
  </si>
  <si>
    <t>years</t>
  </si>
  <si>
    <t>Lifetime of the PV plant</t>
  </si>
  <si>
    <t>includes electricity from solar, geothermal, biogas, wood, waste, other</t>
  </si>
  <si>
    <t>ENTSO-E mix</t>
  </si>
  <si>
    <t>Emissions ENTSO-E mix</t>
  </si>
  <si>
    <t>RET I, 13.12.2016</t>
  </si>
  <si>
    <t>For questions, please contact: xiaojin.zhang@psi.ch</t>
  </si>
  <si>
    <t>Direct electricity consumption of each step in the energy chain</t>
  </si>
  <si>
    <t>unit</t>
  </si>
  <si>
    <t>Product requirement of each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</si>
</sst>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10"/>
      <color indexed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name val="Arial"/>
      <family val="2"/>
    </font>
    <font>
      <b/>
      <i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3" fillId="0" borderId="0" xfId="0" applyFont="1"/>
    <xf numFmtId="0" fontId="0" fillId="0" borderId="0" xfId="0" applyFill="1"/>
    <xf numFmtId="165" fontId="8" fillId="0" borderId="0" xfId="0" applyNumberFormat="1" applyFont="1"/>
    <xf numFmtId="0" fontId="8" fillId="0" borderId="0" xfId="0" applyFont="1"/>
    <xf numFmtId="11" fontId="0" fillId="0" borderId="0" xfId="0" applyNumberFormat="1"/>
    <xf numFmtId="0" fontId="9" fillId="0" borderId="0" xfId="0" applyFont="1"/>
    <xf numFmtId="1" fontId="8" fillId="0" borderId="0" xfId="0" applyNumberFormat="1" applyFont="1" applyFill="1"/>
    <xf numFmtId="0" fontId="8" fillId="0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1" fontId="3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166" fontId="4" fillId="0" borderId="0" xfId="0" applyNumberFormat="1" applyFont="1" applyFill="1"/>
    <xf numFmtId="0" fontId="2" fillId="0" borderId="0" xfId="1" applyFont="1" applyAlignment="1" applyProtection="1"/>
    <xf numFmtId="0" fontId="12" fillId="0" borderId="0" xfId="0" applyFont="1"/>
    <xf numFmtId="0" fontId="1" fillId="0" borderId="0" xfId="0" applyFont="1"/>
    <xf numFmtId="0" fontId="14" fillId="0" borderId="0" xfId="0" applyFont="1"/>
    <xf numFmtId="0" fontId="1" fillId="0" borderId="0" xfId="0" applyFont="1" applyAlignme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3" fillId="0" borderId="1" xfId="0" applyFont="1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 applyAlignment="1">
      <alignment wrapText="1"/>
    </xf>
    <xf numFmtId="0" fontId="4" fillId="0" borderId="19" xfId="0" applyFont="1" applyBorder="1"/>
    <xf numFmtId="11" fontId="4" fillId="0" borderId="0" xfId="0" applyNumberFormat="1" applyFont="1" applyFill="1" applyBorder="1"/>
    <xf numFmtId="0" fontId="6" fillId="0" borderId="0" xfId="0" applyFont="1" applyFill="1"/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11" fontId="4" fillId="0" borderId="5" xfId="0" applyNumberFormat="1" applyFont="1" applyFill="1" applyBorder="1"/>
    <xf numFmtId="0" fontId="3" fillId="0" borderId="0" xfId="0" applyFont="1" applyFill="1" applyBorder="1"/>
    <xf numFmtId="0" fontId="3" fillId="0" borderId="22" xfId="0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0" applyFill="1" applyBorder="1"/>
    <xf numFmtId="0" fontId="0" fillId="0" borderId="6" xfId="0" applyFill="1" applyBorder="1"/>
    <xf numFmtId="0" fontId="4" fillId="0" borderId="4" xfId="0" applyFont="1" applyFill="1" applyBorder="1"/>
    <xf numFmtId="49" fontId="4" fillId="0" borderId="0" xfId="0" applyNumberFormat="1" applyFont="1" applyFill="1" applyBorder="1" applyAlignment="1">
      <alignment horizontal="left" vertical="top" wrapText="1"/>
    </xf>
    <xf numFmtId="11" fontId="4" fillId="0" borderId="0" xfId="0" applyNumberFormat="1" applyFont="1" applyFill="1" applyBorder="1" applyAlignment="1">
      <alignment horizontal="center" vertical="top" wrapText="1"/>
    </xf>
    <xf numFmtId="11" fontId="0" fillId="0" borderId="0" xfId="0" applyNumberFormat="1" applyFill="1" applyBorder="1" applyAlignment="1">
      <alignment horizontal="center"/>
    </xf>
    <xf numFmtId="166" fontId="8" fillId="0" borderId="0" xfId="0" applyNumberFormat="1" applyFont="1"/>
    <xf numFmtId="11" fontId="4" fillId="0" borderId="23" xfId="0" applyNumberFormat="1" applyFont="1" applyFill="1" applyBorder="1"/>
    <xf numFmtId="11" fontId="3" fillId="0" borderId="23" xfId="0" applyNumberFormat="1" applyFont="1" applyFill="1" applyBorder="1"/>
    <xf numFmtId="11" fontId="3" fillId="0" borderId="24" xfId="0" applyNumberFormat="1" applyFont="1" applyFill="1" applyBorder="1"/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" fontId="0" fillId="0" borderId="0" xfId="0" applyNumberForma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vertical="top" wrapText="1"/>
    </xf>
    <xf numFmtId="49" fontId="0" fillId="0" borderId="22" xfId="0" applyNumberFormat="1" applyFill="1" applyBorder="1" applyAlignment="1">
      <alignment horizontal="left"/>
    </xf>
    <xf numFmtId="11" fontId="4" fillId="0" borderId="20" xfId="0" applyNumberFormat="1" applyFont="1" applyFill="1" applyBorder="1" applyAlignment="1">
      <alignment horizontal="center" vertical="top" wrapText="1"/>
    </xf>
    <xf numFmtId="11" fontId="0" fillId="0" borderId="21" xfId="0" applyNumberForma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vertical="top" wrapText="1"/>
    </xf>
    <xf numFmtId="11" fontId="4" fillId="0" borderId="23" xfId="0" applyNumberFormat="1" applyFont="1" applyFill="1" applyBorder="1" applyAlignment="1">
      <alignment horizontal="center" vertical="top" wrapText="1"/>
    </xf>
    <xf numFmtId="11" fontId="0" fillId="0" borderId="26" xfId="0" applyNumberFormat="1" applyFill="1" applyBorder="1" applyAlignment="1">
      <alignment horizontal="center"/>
    </xf>
    <xf numFmtId="49" fontId="4" fillId="0" borderId="27" xfId="0" applyNumberFormat="1" applyFont="1" applyFill="1" applyBorder="1" applyAlignment="1">
      <alignment horizontal="left" vertical="top" wrapText="1"/>
    </xf>
    <xf numFmtId="11" fontId="4" fillId="0" borderId="24" xfId="0" applyNumberFormat="1" applyFont="1" applyFill="1" applyBorder="1" applyAlignment="1">
      <alignment horizontal="center" vertical="top" wrapText="1"/>
    </xf>
    <xf numFmtId="11" fontId="0" fillId="0" borderId="28" xfId="0" applyNumberFormat="1" applyFill="1" applyBorder="1" applyAlignment="1">
      <alignment horizontal="center"/>
    </xf>
    <xf numFmtId="0" fontId="3" fillId="0" borderId="27" xfId="0" applyFont="1" applyFill="1" applyBorder="1"/>
    <xf numFmtId="0" fontId="0" fillId="0" borderId="24" xfId="0" applyFill="1" applyBorder="1"/>
    <xf numFmtId="0" fontId="0" fillId="0" borderId="28" xfId="0" applyFill="1" applyBorder="1"/>
    <xf numFmtId="0" fontId="3" fillId="0" borderId="29" xfId="0" applyFont="1" applyFill="1" applyBorder="1"/>
    <xf numFmtId="0" fontId="3" fillId="0" borderId="30" xfId="0" applyFont="1" applyFill="1" applyBorder="1" applyAlignment="1">
      <alignment vertical="top"/>
    </xf>
    <xf numFmtId="0" fontId="3" fillId="0" borderId="31" xfId="0" applyFont="1" applyFill="1" applyBorder="1" applyAlignment="1">
      <alignment vertical="top"/>
    </xf>
    <xf numFmtId="0" fontId="0" fillId="0" borderId="8" xfId="0" applyFill="1" applyBorder="1"/>
    <xf numFmtId="0" fontId="3" fillId="0" borderId="32" xfId="0" applyFont="1" applyFill="1" applyBorder="1"/>
    <xf numFmtId="0" fontId="0" fillId="0" borderId="33" xfId="0" applyFill="1" applyBorder="1"/>
    <xf numFmtId="0" fontId="3" fillId="0" borderId="32" xfId="0" applyFont="1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21" xfId="0" applyBorder="1"/>
    <xf numFmtId="11" fontId="4" fillId="0" borderId="21" xfId="0" applyNumberFormat="1" applyFont="1" applyFill="1" applyBorder="1"/>
    <xf numFmtId="11" fontId="4" fillId="0" borderId="26" xfId="0" applyNumberFormat="1" applyFont="1" applyFill="1" applyBorder="1"/>
    <xf numFmtId="11" fontId="4" fillId="0" borderId="28" xfId="0" applyNumberFormat="1" applyFont="1" applyFill="1" applyBorder="1"/>
    <xf numFmtId="0" fontId="4" fillId="0" borderId="9" xfId="0" applyFont="1" applyFill="1" applyBorder="1"/>
    <xf numFmtId="11" fontId="4" fillId="0" borderId="34" xfId="0" applyNumberFormat="1" applyFont="1" applyFill="1" applyBorder="1"/>
    <xf numFmtId="11" fontId="4" fillId="0" borderId="10" xfId="0" applyNumberFormat="1" applyFont="1" applyFill="1" applyBorder="1"/>
    <xf numFmtId="11" fontId="3" fillId="0" borderId="35" xfId="0" applyNumberFormat="1" applyFont="1" applyFill="1" applyBorder="1"/>
    <xf numFmtId="0" fontId="4" fillId="0" borderId="18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1" fontId="6" fillId="2" borderId="6" xfId="0" applyNumberFormat="1" applyFont="1" applyFill="1" applyBorder="1"/>
    <xf numFmtId="0" fontId="17" fillId="2" borderId="0" xfId="0" applyFont="1" applyFill="1" applyAlignment="1">
      <alignment horizontal="right"/>
    </xf>
    <xf numFmtId="0" fontId="6" fillId="2" borderId="4" xfId="0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11" fontId="6" fillId="2" borderId="8" xfId="0" applyNumberFormat="1" applyFont="1" applyFill="1" applyBorder="1"/>
    <xf numFmtId="11" fontId="6" fillId="2" borderId="12" xfId="0" applyNumberFormat="1" applyFont="1" applyFill="1" applyBorder="1"/>
    <xf numFmtId="11" fontId="6" fillId="2" borderId="5" xfId="0" applyNumberFormat="1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top"/>
    </xf>
    <xf numFmtId="0" fontId="3" fillId="0" borderId="6" xfId="0" applyFont="1" applyFill="1" applyBorder="1"/>
    <xf numFmtId="1" fontId="3" fillId="0" borderId="7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15" fillId="0" borderId="4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/>
    <xf numFmtId="1" fontId="4" fillId="0" borderId="0" xfId="0" applyNumberFormat="1" applyFont="1" applyFill="1" applyBorder="1"/>
    <xf numFmtId="0" fontId="3" fillId="0" borderId="40" xfId="0" applyFont="1" applyFill="1" applyBorder="1" applyAlignment="1">
      <alignment horizontal="left"/>
    </xf>
    <xf numFmtId="0" fontId="4" fillId="0" borderId="6" xfId="0" applyFont="1" applyFill="1" applyBorder="1" applyAlignment="1">
      <alignment wrapText="1"/>
    </xf>
    <xf numFmtId="0" fontId="16" fillId="0" borderId="4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32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0" fontId="4" fillId="0" borderId="4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vertical="top" wrapText="1"/>
    </xf>
    <xf numFmtId="1" fontId="3" fillId="0" borderId="7" xfId="0" applyNumberFormat="1" applyFont="1" applyFill="1" applyBorder="1" applyAlignment="1">
      <alignment vertical="top" wrapText="1"/>
    </xf>
    <xf numFmtId="1" fontId="6" fillId="2" borderId="7" xfId="0" applyNumberFormat="1" applyFont="1" applyFill="1" applyBorder="1" applyAlignment="1">
      <alignment wrapText="1"/>
    </xf>
    <xf numFmtId="1" fontId="6" fillId="2" borderId="8" xfId="0" applyNumberFormat="1" applyFont="1" applyFill="1" applyBorder="1" applyAlignment="1">
      <alignment wrapText="1"/>
    </xf>
    <xf numFmtId="0" fontId="6" fillId="2" borderId="8" xfId="0" applyFont="1" applyFill="1" applyBorder="1"/>
    <xf numFmtId="1" fontId="6" fillId="2" borderId="6" xfId="0" applyNumberFormat="1" applyFont="1" applyFill="1" applyBorder="1" applyAlignment="1">
      <alignment wrapText="1"/>
    </xf>
    <xf numFmtId="0" fontId="3" fillId="0" borderId="32" xfId="0" applyFont="1" applyFill="1" applyBorder="1" applyAlignment="1"/>
    <xf numFmtId="0" fontId="4" fillId="0" borderId="41" xfId="0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3" fillId="0" borderId="41" xfId="0" applyFont="1" applyFill="1" applyBorder="1" applyAlignment="1">
      <alignment horizontal="right" wrapText="1"/>
    </xf>
    <xf numFmtId="0" fontId="3" fillId="0" borderId="33" xfId="0" applyFont="1" applyFill="1" applyBorder="1" applyAlignment="1">
      <alignment horizontal="right" wrapText="1"/>
    </xf>
    <xf numFmtId="0" fontId="4" fillId="0" borderId="2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1" fontId="4" fillId="0" borderId="20" xfId="0" applyNumberFormat="1" applyFont="1" applyFill="1" applyBorder="1" applyAlignment="1">
      <alignment vertical="center" wrapText="1"/>
    </xf>
    <xf numFmtId="1" fontId="4" fillId="0" borderId="21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1" fontId="4" fillId="0" borderId="23" xfId="0" applyNumberFormat="1" applyFont="1" applyFill="1" applyBorder="1" applyAlignment="1">
      <alignment vertical="center" wrapText="1"/>
    </xf>
    <xf numFmtId="1" fontId="4" fillId="0" borderId="26" xfId="0" applyNumberFormat="1" applyFont="1" applyFill="1" applyBorder="1" applyAlignment="1">
      <alignment vertical="center" wrapText="1"/>
    </xf>
    <xf numFmtId="0" fontId="15" fillId="0" borderId="42" xfId="0" applyFont="1" applyFill="1" applyBorder="1" applyAlignment="1">
      <alignment horizontal="right" vertical="center" wrapText="1"/>
    </xf>
    <xf numFmtId="0" fontId="15" fillId="0" borderId="43" xfId="0" applyFont="1" applyFill="1" applyBorder="1" applyAlignment="1">
      <alignment horizontal="right" vertical="center" wrapText="1"/>
    </xf>
    <xf numFmtId="1" fontId="16" fillId="0" borderId="43" xfId="0" applyNumberFormat="1" applyFont="1" applyFill="1" applyBorder="1" applyAlignment="1">
      <alignment horizontal="right" vertical="top" wrapText="1"/>
    </xf>
    <xf numFmtId="1" fontId="15" fillId="0" borderId="43" xfId="0" applyNumberFormat="1" applyFont="1" applyFill="1" applyBorder="1" applyAlignment="1">
      <alignment horizontal="right" vertical="top" wrapText="1"/>
    </xf>
    <xf numFmtId="1" fontId="15" fillId="0" borderId="44" xfId="0" applyNumberFormat="1" applyFont="1" applyFill="1" applyBorder="1" applyAlignment="1">
      <alignment horizontal="right" vertical="top" wrapText="1"/>
    </xf>
    <xf numFmtId="0" fontId="4" fillId="0" borderId="22" xfId="0" applyFont="1" applyFill="1" applyBorder="1" applyAlignment="1">
      <alignment horizontal="right" vertical="top" wrapText="1"/>
    </xf>
    <xf numFmtId="0" fontId="4" fillId="0" borderId="25" xfId="0" applyFont="1" applyFill="1" applyBorder="1" applyAlignment="1">
      <alignment horizontal="right" vertical="top" wrapText="1"/>
    </xf>
    <xf numFmtId="1" fontId="4" fillId="0" borderId="23" xfId="0" applyNumberFormat="1" applyFont="1" applyFill="1" applyBorder="1" applyAlignment="1">
      <alignment vertical="top"/>
    </xf>
    <xf numFmtId="1" fontId="4" fillId="0" borderId="26" xfId="0" applyNumberFormat="1" applyFont="1" applyFill="1" applyBorder="1" applyAlignment="1">
      <alignment vertical="top"/>
    </xf>
    <xf numFmtId="0" fontId="4" fillId="0" borderId="42" xfId="0" applyFont="1" applyFill="1" applyBorder="1"/>
    <xf numFmtId="0" fontId="4" fillId="0" borderId="43" xfId="0" applyFont="1" applyFill="1" applyBorder="1"/>
    <xf numFmtId="1" fontId="3" fillId="0" borderId="43" xfId="0" applyNumberFormat="1" applyFont="1" applyFill="1" applyBorder="1" applyAlignment="1">
      <alignment wrapText="1"/>
    </xf>
    <xf numFmtId="1" fontId="4" fillId="0" borderId="43" xfId="0" applyNumberFormat="1" applyFont="1" applyFill="1" applyBorder="1" applyAlignment="1">
      <alignment wrapText="1"/>
    </xf>
    <xf numFmtId="1" fontId="4" fillId="0" borderId="44" xfId="0" applyNumberFormat="1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0" borderId="24" xfId="0" applyFont="1" applyFill="1" applyBorder="1"/>
    <xf numFmtId="1" fontId="3" fillId="0" borderId="24" xfId="0" applyNumberFormat="1" applyFont="1" applyFill="1" applyBorder="1" applyAlignment="1">
      <alignment wrapText="1"/>
    </xf>
    <xf numFmtId="1" fontId="4" fillId="0" borderId="24" xfId="0" applyNumberFormat="1" applyFont="1" applyFill="1" applyBorder="1" applyAlignment="1">
      <alignment wrapText="1"/>
    </xf>
    <xf numFmtId="1" fontId="4" fillId="0" borderId="28" xfId="0" applyNumberFormat="1" applyFont="1" applyFill="1" applyBorder="1" applyAlignment="1">
      <alignment wrapText="1"/>
    </xf>
    <xf numFmtId="0" fontId="4" fillId="0" borderId="22" xfId="0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right" wrapText="1"/>
    </xf>
    <xf numFmtId="1" fontId="0" fillId="0" borderId="20" xfId="0" applyNumberFormat="1" applyFill="1" applyBorder="1" applyAlignment="1">
      <alignment vertical="top" wrapText="1"/>
    </xf>
    <xf numFmtId="1" fontId="4" fillId="0" borderId="20" xfId="0" applyNumberFormat="1" applyFont="1" applyFill="1" applyBorder="1" applyAlignment="1">
      <alignment vertical="top" wrapText="1"/>
    </xf>
    <xf numFmtId="1" fontId="4" fillId="0" borderId="21" xfId="0" applyNumberFormat="1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right" wrapText="1"/>
    </xf>
    <xf numFmtId="1" fontId="0" fillId="0" borderId="23" xfId="0" applyNumberFormat="1" applyFill="1" applyBorder="1" applyAlignment="1">
      <alignment vertical="top" wrapText="1"/>
    </xf>
    <xf numFmtId="1" fontId="4" fillId="0" borderId="23" xfId="0" applyNumberFormat="1" applyFont="1" applyFill="1" applyBorder="1" applyAlignment="1">
      <alignment vertical="top" wrapText="1"/>
    </xf>
    <xf numFmtId="1" fontId="4" fillId="0" borderId="26" xfId="0" applyNumberFormat="1" applyFont="1" applyFill="1" applyBorder="1" applyAlignment="1">
      <alignment vertical="top" wrapText="1"/>
    </xf>
    <xf numFmtId="0" fontId="4" fillId="0" borderId="30" xfId="0" applyFont="1" applyFill="1" applyBorder="1" applyAlignment="1">
      <alignment wrapText="1"/>
    </xf>
    <xf numFmtId="1" fontId="3" fillId="0" borderId="30" xfId="0" applyNumberFormat="1" applyFont="1" applyFill="1" applyBorder="1" applyAlignment="1">
      <alignment wrapText="1"/>
    </xf>
    <xf numFmtId="1" fontId="4" fillId="0" borderId="30" xfId="0" applyNumberFormat="1" applyFont="1" applyFill="1" applyBorder="1" applyAlignment="1">
      <alignment wrapText="1"/>
    </xf>
    <xf numFmtId="1" fontId="4" fillId="0" borderId="31" xfId="0" applyNumberFormat="1" applyFont="1" applyFill="1" applyBorder="1" applyAlignment="1">
      <alignment wrapText="1"/>
    </xf>
    <xf numFmtId="0" fontId="3" fillId="0" borderId="45" xfId="0" applyFont="1" applyFill="1" applyBorder="1" applyAlignment="1">
      <alignment horizontal="center" vertical="top" wrapText="1"/>
    </xf>
    <xf numFmtId="1" fontId="4" fillId="0" borderId="18" xfId="0" applyNumberFormat="1" applyFont="1" applyFill="1" applyBorder="1" applyAlignment="1">
      <alignment vertical="center" wrapText="1"/>
    </xf>
    <xf numFmtId="1" fontId="4" fillId="0" borderId="36" xfId="0" applyNumberFormat="1" applyFont="1" applyFill="1" applyBorder="1" applyAlignment="1">
      <alignment vertical="center" wrapText="1"/>
    </xf>
    <xf numFmtId="1" fontId="16" fillId="0" borderId="46" xfId="0" applyNumberFormat="1" applyFont="1" applyFill="1" applyBorder="1" applyAlignment="1">
      <alignment horizontal="right" vertical="top" wrapText="1"/>
    </xf>
    <xf numFmtId="1" fontId="4" fillId="0" borderId="36" xfId="0" applyNumberFormat="1" applyFont="1" applyFill="1" applyBorder="1" applyAlignment="1">
      <alignment vertical="top"/>
    </xf>
    <xf numFmtId="1" fontId="3" fillId="0" borderId="46" xfId="0" applyNumberFormat="1" applyFont="1" applyFill="1" applyBorder="1" applyAlignment="1">
      <alignment wrapText="1"/>
    </xf>
    <xf numFmtId="1" fontId="3" fillId="0" borderId="39" xfId="0" applyNumberFormat="1" applyFont="1" applyFill="1" applyBorder="1" applyAlignment="1">
      <alignment wrapText="1"/>
    </xf>
    <xf numFmtId="1" fontId="0" fillId="0" borderId="18" xfId="0" applyNumberFormat="1" applyFill="1" applyBorder="1" applyAlignment="1">
      <alignment vertical="top" wrapText="1"/>
    </xf>
    <xf numFmtId="1" fontId="0" fillId="0" borderId="36" xfId="0" applyNumberFormat="1" applyFill="1" applyBorder="1" applyAlignment="1">
      <alignment vertical="top" wrapText="1"/>
    </xf>
    <xf numFmtId="1" fontId="3" fillId="0" borderId="45" xfId="0" applyNumberFormat="1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top" wrapText="1"/>
    </xf>
    <xf numFmtId="1" fontId="4" fillId="0" borderId="22" xfId="0" applyNumberFormat="1" applyFont="1" applyFill="1" applyBorder="1" applyAlignment="1">
      <alignment vertical="center" wrapText="1"/>
    </xf>
    <xf numFmtId="1" fontId="4" fillId="0" borderId="25" xfId="0" applyNumberFormat="1" applyFont="1" applyFill="1" applyBorder="1" applyAlignment="1">
      <alignment vertical="center" wrapText="1"/>
    </xf>
    <xf numFmtId="1" fontId="15" fillId="0" borderId="42" xfId="0" applyNumberFormat="1" applyFont="1" applyFill="1" applyBorder="1" applyAlignment="1">
      <alignment horizontal="right" vertical="top" wrapText="1"/>
    </xf>
    <xf numFmtId="1" fontId="4" fillId="0" borderId="25" xfId="0" applyNumberFormat="1" applyFont="1" applyFill="1" applyBorder="1" applyAlignment="1">
      <alignment vertical="top"/>
    </xf>
    <xf numFmtId="1" fontId="4" fillId="0" borderId="42" xfId="0" applyNumberFormat="1" applyFont="1" applyFill="1" applyBorder="1" applyAlignment="1">
      <alignment wrapText="1"/>
    </xf>
    <xf numFmtId="1" fontId="4" fillId="0" borderId="27" xfId="0" applyNumberFormat="1" applyFont="1" applyFill="1" applyBorder="1" applyAlignment="1">
      <alignment wrapText="1"/>
    </xf>
    <xf numFmtId="1" fontId="4" fillId="0" borderId="22" xfId="0" applyNumberFormat="1" applyFont="1" applyFill="1" applyBorder="1" applyAlignment="1">
      <alignment vertical="top" wrapText="1"/>
    </xf>
    <xf numFmtId="1" fontId="4" fillId="0" borderId="25" xfId="0" applyNumberFormat="1" applyFont="1" applyFill="1" applyBorder="1" applyAlignment="1">
      <alignment vertical="top" wrapText="1"/>
    </xf>
    <xf numFmtId="1" fontId="4" fillId="0" borderId="29" xfId="0" applyNumberFormat="1" applyFont="1" applyFill="1" applyBorder="1" applyAlignment="1">
      <alignment wrapText="1"/>
    </xf>
    <xf numFmtId="0" fontId="4" fillId="0" borderId="23" xfId="0" applyFont="1" applyFill="1" applyBorder="1"/>
    <xf numFmtId="0" fontId="4" fillId="0" borderId="21" xfId="0" applyFont="1" applyFill="1" applyBorder="1" applyAlignment="1">
      <alignment wrapText="1"/>
    </xf>
    <xf numFmtId="0" fontId="4" fillId="0" borderId="23" xfId="0" applyFont="1" applyFill="1" applyBorder="1" applyAlignment="1">
      <alignment horizontal="right" vertical="top" wrapText="1"/>
    </xf>
    <xf numFmtId="0" fontId="4" fillId="0" borderId="26" xfId="0" applyFont="1" applyFill="1" applyBorder="1" applyAlignment="1">
      <alignment wrapText="1"/>
    </xf>
    <xf numFmtId="0" fontId="4" fillId="0" borderId="26" xfId="0" applyFont="1" applyFill="1" applyBorder="1" applyAlignment="1">
      <alignment vertical="top" wrapText="1"/>
    </xf>
    <xf numFmtId="0" fontId="4" fillId="0" borderId="24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wrapText="1"/>
    </xf>
    <xf numFmtId="0" fontId="4" fillId="0" borderId="24" xfId="0" applyFont="1" applyFill="1" applyBorder="1" applyAlignment="1">
      <alignment vertical="top" wrapText="1"/>
    </xf>
    <xf numFmtId="164" fontId="4" fillId="0" borderId="28" xfId="0" applyNumberFormat="1" applyFont="1" applyFill="1" applyBorder="1"/>
    <xf numFmtId="1" fontId="4" fillId="0" borderId="23" xfId="0" applyNumberFormat="1" applyFont="1" applyFill="1" applyBorder="1" applyAlignment="1">
      <alignment wrapText="1"/>
    </xf>
    <xf numFmtId="1" fontId="4" fillId="0" borderId="27" xfId="0" applyNumberFormat="1" applyFont="1" applyFill="1" applyBorder="1" applyAlignment="1">
      <alignment vertical="top" wrapText="1"/>
    </xf>
    <xf numFmtId="1" fontId="4" fillId="0" borderId="24" xfId="0" applyNumberFormat="1" applyFont="1" applyFill="1" applyBorder="1" applyAlignment="1">
      <alignment vertical="top" wrapText="1"/>
    </xf>
    <xf numFmtId="1" fontId="4" fillId="0" borderId="28" xfId="0" applyNumberFormat="1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center" vertical="top" wrapText="1"/>
    </xf>
    <xf numFmtId="1" fontId="4" fillId="0" borderId="48" xfId="0" applyNumberFormat="1" applyFont="1" applyFill="1" applyBorder="1" applyAlignment="1">
      <alignment vertical="center" wrapText="1"/>
    </xf>
    <xf numFmtId="1" fontId="4" fillId="0" borderId="49" xfId="0" applyNumberFormat="1" applyFont="1" applyFill="1" applyBorder="1" applyAlignment="1">
      <alignment vertical="center" wrapText="1"/>
    </xf>
    <xf numFmtId="1" fontId="16" fillId="0" borderId="50" xfId="0" applyNumberFormat="1" applyFont="1" applyFill="1" applyBorder="1" applyAlignment="1">
      <alignment horizontal="right" vertical="top" wrapText="1"/>
    </xf>
    <xf numFmtId="1" fontId="4" fillId="0" borderId="49" xfId="0" applyNumberFormat="1" applyFont="1" applyFill="1" applyBorder="1" applyAlignment="1">
      <alignment vertical="top"/>
    </xf>
    <xf numFmtId="1" fontId="3" fillId="0" borderId="50" xfId="0" applyNumberFormat="1" applyFont="1" applyFill="1" applyBorder="1" applyAlignment="1">
      <alignment wrapText="1"/>
    </xf>
    <xf numFmtId="1" fontId="3" fillId="0" borderId="51" xfId="0" applyNumberFormat="1" applyFont="1" applyFill="1" applyBorder="1" applyAlignment="1">
      <alignment wrapText="1"/>
    </xf>
    <xf numFmtId="1" fontId="0" fillId="0" borderId="48" xfId="0" applyNumberFormat="1" applyFill="1" applyBorder="1" applyAlignment="1">
      <alignment vertical="top" wrapText="1"/>
    </xf>
    <xf numFmtId="1" fontId="0" fillId="0" borderId="49" xfId="0" applyNumberFormat="1" applyFill="1" applyBorder="1" applyAlignment="1">
      <alignment vertical="top" wrapText="1"/>
    </xf>
    <xf numFmtId="1" fontId="3" fillId="0" borderId="47" xfId="0" applyNumberFormat="1" applyFont="1" applyFill="1" applyBorder="1" applyAlignment="1">
      <alignment wrapText="1"/>
    </xf>
    <xf numFmtId="0" fontId="8" fillId="0" borderId="44" xfId="0" applyFont="1" applyFill="1" applyBorder="1" applyAlignment="1">
      <alignment horizontal="right" vertical="center" wrapText="1"/>
    </xf>
    <xf numFmtId="0" fontId="8" fillId="0" borderId="44" xfId="0" applyFont="1" applyFill="1" applyBorder="1"/>
    <xf numFmtId="164" fontId="4" fillId="0" borderId="26" xfId="0" applyNumberFormat="1" applyFont="1" applyFill="1" applyBorder="1"/>
    <xf numFmtId="0" fontId="4" fillId="0" borderId="21" xfId="0" applyFont="1" applyFill="1" applyBorder="1" applyAlignment="1">
      <alignment vertical="top" wrapText="1"/>
    </xf>
    <xf numFmtId="164" fontId="4" fillId="0" borderId="31" xfId="0" applyNumberFormat="1" applyFont="1" applyFill="1" applyBorder="1"/>
    <xf numFmtId="1" fontId="4" fillId="0" borderId="25" xfId="0" applyNumberFormat="1" applyFont="1" applyFill="1" applyBorder="1" applyAlignment="1">
      <alignment wrapText="1"/>
    </xf>
    <xf numFmtId="1" fontId="4" fillId="0" borderId="26" xfId="0" applyNumberFormat="1" applyFont="1" applyFill="1" applyBorder="1" applyAlignment="1">
      <alignment wrapText="1"/>
    </xf>
    <xf numFmtId="0" fontId="3" fillId="0" borderId="2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52" xfId="0" applyFont="1" applyFill="1" applyBorder="1"/>
    <xf numFmtId="0" fontId="0" fillId="0" borderId="32" xfId="0" applyFill="1" applyBorder="1"/>
    <xf numFmtId="0" fontId="4" fillId="0" borderId="41" xfId="0" applyFont="1" applyFill="1" applyBorder="1"/>
    <xf numFmtId="0" fontId="3" fillId="0" borderId="33" xfId="0" applyFont="1" applyFill="1" applyBorder="1"/>
    <xf numFmtId="9" fontId="0" fillId="0" borderId="0" xfId="0" applyNumberFormat="1"/>
    <xf numFmtId="164" fontId="4" fillId="0" borderId="36" xfId="0" applyNumberFormat="1" applyFont="1" applyBorder="1"/>
    <xf numFmtId="0" fontId="1" fillId="0" borderId="20" xfId="0" applyFont="1" applyFill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B14" sqref="B14"/>
    </sheetView>
  </sheetViews>
  <sheetFormatPr defaultColWidth="11.44140625" defaultRowHeight="15" x14ac:dyDescent="0.25"/>
  <cols>
    <col min="1" max="16384" width="11.44140625" style="6"/>
  </cols>
  <sheetData>
    <row r="2" spans="2:9" ht="15.6" x14ac:dyDescent="0.3">
      <c r="B2" s="17" t="s">
        <v>105</v>
      </c>
    </row>
    <row r="3" spans="2:9" ht="15.6" x14ac:dyDescent="0.3">
      <c r="B3" s="17" t="s">
        <v>62</v>
      </c>
    </row>
    <row r="5" spans="2:9" ht="15.6" x14ac:dyDescent="0.3">
      <c r="B5" s="20" t="s">
        <v>63</v>
      </c>
      <c r="C5" s="18"/>
      <c r="D5" s="18"/>
      <c r="E5" s="18"/>
      <c r="I5" s="117" t="s">
        <v>64</v>
      </c>
    </row>
    <row r="6" spans="2:9" x14ac:dyDescent="0.25">
      <c r="B6" s="18"/>
      <c r="C6" s="18"/>
      <c r="D6" s="18"/>
      <c r="E6" s="18"/>
    </row>
    <row r="7" spans="2:9" x14ac:dyDescent="0.25">
      <c r="B7" s="18" t="s">
        <v>106</v>
      </c>
      <c r="C7" s="18"/>
      <c r="D7" s="18"/>
      <c r="E7" s="18"/>
    </row>
    <row r="8" spans="2:9" x14ac:dyDescent="0.25">
      <c r="B8" s="16"/>
      <c r="C8" s="19"/>
      <c r="D8" s="19"/>
      <c r="E8" s="19"/>
    </row>
    <row r="9" spans="2:9" x14ac:dyDescent="0.25">
      <c r="B9" s="19"/>
      <c r="C9" s="19"/>
      <c r="D9" s="19"/>
      <c r="E9" s="19"/>
    </row>
    <row r="10" spans="2:9" x14ac:dyDescent="0.25">
      <c r="B10" s="16"/>
      <c r="C10" s="19"/>
      <c r="D10" s="19"/>
      <c r="E10" s="19"/>
    </row>
    <row r="11" spans="2:9" x14ac:dyDescent="0.25">
      <c r="B11" s="19"/>
      <c r="C11" s="19"/>
      <c r="D11" s="19"/>
      <c r="E11" s="19"/>
    </row>
    <row r="12" spans="2:9" x14ac:dyDescent="0.25">
      <c r="B12" s="19"/>
      <c r="C12" s="19"/>
      <c r="D12" s="19"/>
      <c r="E12" s="19"/>
    </row>
    <row r="13" spans="2:9" x14ac:dyDescent="0.25">
      <c r="B13" s="19"/>
      <c r="C13" s="19"/>
      <c r="D13" s="19"/>
      <c r="E13" s="19"/>
    </row>
    <row r="14" spans="2:9" x14ac:dyDescent="0.25">
      <c r="B14" s="19"/>
      <c r="C14" s="19"/>
      <c r="D14" s="19"/>
      <c r="E14" s="19"/>
    </row>
    <row r="15" spans="2:9" x14ac:dyDescent="0.25">
      <c r="B15" s="19"/>
      <c r="C15" s="19"/>
      <c r="D15" s="19"/>
      <c r="E15" s="19"/>
    </row>
    <row r="16" spans="2:9" x14ac:dyDescent="0.25">
      <c r="B16" s="19"/>
      <c r="C16" s="19"/>
      <c r="D16" s="19"/>
      <c r="E16" s="19"/>
    </row>
    <row r="17" spans="2:5" x14ac:dyDescent="0.25">
      <c r="B17" s="19"/>
      <c r="C17" s="19"/>
      <c r="D17" s="19"/>
      <c r="E17" s="19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10" zoomScale="80" zoomScaleNormal="80" workbookViewId="0">
      <selection activeCell="F18" sqref="F18"/>
    </sheetView>
  </sheetViews>
  <sheetFormatPr defaultColWidth="9.109375" defaultRowHeight="13.2" x14ac:dyDescent="0.25"/>
  <cols>
    <col min="1" max="1" width="11.44140625" customWidth="1"/>
    <col min="2" max="2" width="25.44140625" customWidth="1"/>
    <col min="3" max="3" width="17.44140625" customWidth="1"/>
    <col min="4" max="4" width="15.5546875" customWidth="1"/>
    <col min="5" max="5" width="20.44140625" customWidth="1"/>
    <col min="6" max="6" width="22.33203125" customWidth="1"/>
    <col min="7" max="7" width="25.44140625" hidden="1" customWidth="1"/>
    <col min="8" max="8" width="9.109375" hidden="1" customWidth="1"/>
  </cols>
  <sheetData>
    <row r="2" spans="2:7" ht="15.6" x14ac:dyDescent="0.3">
      <c r="B2" s="17" t="s">
        <v>45</v>
      </c>
    </row>
    <row r="3" spans="2:7" ht="13.8" thickBot="1" x14ac:dyDescent="0.3"/>
    <row r="4" spans="2:7" s="1" customFormat="1" ht="40.200000000000003" thickBot="1" x14ac:dyDescent="0.3">
      <c r="B4" s="22" t="s">
        <v>107</v>
      </c>
      <c r="C4" s="23" t="s">
        <v>108</v>
      </c>
      <c r="D4" s="45" t="s">
        <v>109</v>
      </c>
      <c r="E4" s="23" t="s">
        <v>108</v>
      </c>
      <c r="G4" s="21" t="s">
        <v>20</v>
      </c>
    </row>
    <row r="5" spans="2:7" x14ac:dyDescent="0.25">
      <c r="B5" s="31">
        <v>13</v>
      </c>
      <c r="C5" s="32" t="s">
        <v>7</v>
      </c>
      <c r="D5" s="111" t="s">
        <v>1</v>
      </c>
      <c r="E5" s="33" t="s">
        <v>2</v>
      </c>
      <c r="G5" s="3">
        <f>B5*D6*D8*D10*D12*D14*D16/B22</f>
        <v>6.4127568607238575E-2</v>
      </c>
    </row>
    <row r="6" spans="2:7" x14ac:dyDescent="0.25">
      <c r="B6" s="24"/>
      <c r="C6" s="25"/>
      <c r="D6" s="112">
        <v>1.3</v>
      </c>
      <c r="E6" s="26" t="s">
        <v>43</v>
      </c>
      <c r="G6" s="3"/>
    </row>
    <row r="7" spans="2:7" x14ac:dyDescent="0.25">
      <c r="B7" s="34">
        <v>150</v>
      </c>
      <c r="C7" s="43" t="s">
        <v>44</v>
      </c>
      <c r="D7" s="113" t="s">
        <v>32</v>
      </c>
      <c r="E7" s="35" t="s">
        <v>2</v>
      </c>
      <c r="G7" s="3">
        <f>B7*D8*D10*D12*D14*D16/B22</f>
        <v>0.56917960302282755</v>
      </c>
    </row>
    <row r="8" spans="2:7" x14ac:dyDescent="0.25">
      <c r="B8" s="36"/>
      <c r="C8" s="38"/>
      <c r="D8" s="114">
        <v>1.2</v>
      </c>
      <c r="E8" s="37" t="s">
        <v>33</v>
      </c>
      <c r="G8" s="3"/>
    </row>
    <row r="9" spans="2:7" x14ac:dyDescent="0.25">
      <c r="B9" s="24">
        <v>80</v>
      </c>
      <c r="C9" s="25" t="s">
        <v>8</v>
      </c>
      <c r="D9" s="112" t="s">
        <v>3</v>
      </c>
      <c r="E9" s="26" t="s">
        <v>2</v>
      </c>
      <c r="G9" s="3">
        <f>B9*D10*D12*D14*D16/B22</f>
        <v>0.25296871245459002</v>
      </c>
    </row>
    <row r="10" spans="2:7" ht="15.6" x14ac:dyDescent="0.25">
      <c r="B10" s="24"/>
      <c r="C10" s="25"/>
      <c r="D10" s="257">
        <v>1.2</v>
      </c>
      <c r="E10" s="26" t="s">
        <v>34</v>
      </c>
      <c r="G10" s="3"/>
    </row>
    <row r="11" spans="2:7" ht="15.6" x14ac:dyDescent="0.25">
      <c r="B11" s="39">
        <v>8</v>
      </c>
      <c r="C11" s="43" t="s">
        <v>36</v>
      </c>
      <c r="D11" s="113" t="s">
        <v>4</v>
      </c>
      <c r="E11" s="35" t="s">
        <v>39</v>
      </c>
      <c r="G11" s="3">
        <f>B11*D16*D14*D12/B22</f>
        <v>2.1080726037882504E-2</v>
      </c>
    </row>
    <row r="12" spans="2:7" ht="15.6" x14ac:dyDescent="0.25">
      <c r="B12" s="36"/>
      <c r="C12" s="38"/>
      <c r="D12" s="114">
        <v>1.06</v>
      </c>
      <c r="E12" s="37" t="s">
        <v>35</v>
      </c>
      <c r="G12" s="3"/>
    </row>
    <row r="13" spans="2:7" ht="15.6" x14ac:dyDescent="0.25">
      <c r="B13" s="24">
        <v>30</v>
      </c>
      <c r="C13" s="25" t="s">
        <v>37</v>
      </c>
      <c r="D13" s="112" t="s">
        <v>5</v>
      </c>
      <c r="E13" s="26" t="s">
        <v>40</v>
      </c>
      <c r="G13" s="3">
        <f>B13*D16*D14/B22</f>
        <v>7.45780402283579E-2</v>
      </c>
    </row>
    <row r="14" spans="2:7" ht="15.6" x14ac:dyDescent="0.25">
      <c r="B14" s="24"/>
      <c r="C14" s="25"/>
      <c r="D14" s="112">
        <v>0.93</v>
      </c>
      <c r="E14" s="26" t="s">
        <v>95</v>
      </c>
      <c r="G14" s="3"/>
    </row>
    <row r="15" spans="2:7" ht="15.6" x14ac:dyDescent="0.25">
      <c r="B15" s="39">
        <v>5</v>
      </c>
      <c r="C15" s="43" t="s">
        <v>38</v>
      </c>
      <c r="D15" s="113" t="s">
        <v>6</v>
      </c>
      <c r="E15" s="35" t="s">
        <v>41</v>
      </c>
      <c r="G15" s="3">
        <f>B15*D16/B22</f>
        <v>1.3365240184293531E-2</v>
      </c>
    </row>
    <row r="16" spans="2:7" ht="15.6" x14ac:dyDescent="0.25">
      <c r="B16" s="36"/>
      <c r="C16" s="38"/>
      <c r="D16" s="114">
        <v>30</v>
      </c>
      <c r="E16" s="37" t="s">
        <v>93</v>
      </c>
      <c r="G16" s="3"/>
    </row>
    <row r="17" spans="2:8" x14ac:dyDescent="0.25">
      <c r="B17" s="40">
        <v>21</v>
      </c>
      <c r="C17" s="44" t="s">
        <v>42</v>
      </c>
      <c r="D17" s="46">
        <v>2.5</v>
      </c>
      <c r="E17" s="41" t="s">
        <v>91</v>
      </c>
      <c r="G17" s="3">
        <f>B17*D17/B22</f>
        <v>4.6778340645027361E-3</v>
      </c>
    </row>
    <row r="18" spans="2:8" ht="13.8" thickBot="1" x14ac:dyDescent="0.3">
      <c r="B18" s="28">
        <v>0.25</v>
      </c>
      <c r="C18" s="29" t="s">
        <v>90</v>
      </c>
      <c r="D18" s="115" t="s">
        <v>92</v>
      </c>
      <c r="E18" s="30" t="s">
        <v>92</v>
      </c>
      <c r="G18" s="3">
        <f>B18/B22</f>
        <v>2.2275400307155885E-5</v>
      </c>
    </row>
    <row r="19" spans="2:8" x14ac:dyDescent="0.25">
      <c r="D19" s="5"/>
      <c r="E19" s="2"/>
      <c r="G19" s="3">
        <f>SUM(G5:G18)</f>
        <v>0.99999999999999989</v>
      </c>
    </row>
    <row r="20" spans="2:8" ht="13.8" thickBot="1" x14ac:dyDescent="0.3">
      <c r="D20" s="1"/>
      <c r="G20" s="4"/>
    </row>
    <row r="21" spans="2:8" x14ac:dyDescent="0.25">
      <c r="B21" s="42" t="s">
        <v>21</v>
      </c>
      <c r="C21" s="33"/>
    </row>
    <row r="22" spans="2:8" ht="13.8" thickBot="1" x14ac:dyDescent="0.3">
      <c r="B22" s="116">
        <f>B18+B17*D17+D16*(B15+D14*(B13+D12*(B11+D10*(B9+D8*(B7+D6*B5)))))</f>
        <v>11223.142864000001</v>
      </c>
      <c r="C22" s="148" t="s">
        <v>90</v>
      </c>
      <c r="G22" s="7">
        <f>B18+D17*B17+D16*B15+D16*D14*B13+D16*D14*D12*B11+D16*D14*D12*D10*B9+D16*D14*D12*D10*D8*B7+D16*D14*D12*D10*D8*D6*B5</f>
        <v>11223.142864000001</v>
      </c>
      <c r="H22" s="8" t="s">
        <v>9</v>
      </c>
    </row>
    <row r="23" spans="2:8" x14ac:dyDescent="0.25">
      <c r="G23" s="61"/>
      <c r="H23" s="4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9"/>
  <sheetViews>
    <sheetView workbookViewId="0">
      <selection activeCell="J14" sqref="J14"/>
    </sheetView>
  </sheetViews>
  <sheetFormatPr defaultColWidth="9.109375" defaultRowHeight="13.2" x14ac:dyDescent="0.25"/>
  <cols>
    <col min="1" max="1" width="11.44140625" customWidth="1"/>
    <col min="2" max="2" width="23.5546875" customWidth="1"/>
    <col min="3" max="3" width="23" customWidth="1"/>
    <col min="4" max="10" width="14.6640625" customWidth="1"/>
  </cols>
  <sheetData>
    <row r="2" spans="2:17" ht="15.6" x14ac:dyDescent="0.3">
      <c r="B2" s="17" t="s">
        <v>46</v>
      </c>
    </row>
    <row r="3" spans="2:17" ht="13.8" thickBot="1" x14ac:dyDescent="0.3">
      <c r="B3" s="2"/>
      <c r="C3" s="2"/>
      <c r="D3" s="2"/>
      <c r="E3" s="2"/>
      <c r="F3" s="2"/>
      <c r="G3" s="2"/>
      <c r="H3" s="2"/>
      <c r="I3" s="2"/>
    </row>
    <row r="4" spans="2:17" ht="13.8" thickBot="1" x14ac:dyDescent="0.3">
      <c r="B4" s="94" t="s">
        <v>103</v>
      </c>
      <c r="C4" s="95" t="s">
        <v>26</v>
      </c>
      <c r="D4" s="95" t="s">
        <v>31</v>
      </c>
      <c r="E4" s="95" t="s">
        <v>27</v>
      </c>
      <c r="F4" s="95" t="s">
        <v>28</v>
      </c>
      <c r="G4" s="95" t="s">
        <v>29</v>
      </c>
      <c r="H4" s="95" t="s">
        <v>30</v>
      </c>
      <c r="I4" s="96" t="s">
        <v>0</v>
      </c>
    </row>
    <row r="5" spans="2:17" ht="13.8" thickBot="1" x14ac:dyDescent="0.3">
      <c r="B5" s="91" t="s">
        <v>22</v>
      </c>
      <c r="C5" s="92">
        <v>0.12</v>
      </c>
      <c r="D5" s="92">
        <v>0.16</v>
      </c>
      <c r="E5" s="92">
        <v>0.02</v>
      </c>
      <c r="F5" s="92">
        <v>0.16</v>
      </c>
      <c r="G5" s="92">
        <v>0.25</v>
      </c>
      <c r="H5" s="92">
        <v>0.16</v>
      </c>
      <c r="I5" s="93">
        <v>0.13</v>
      </c>
      <c r="K5" s="256"/>
      <c r="L5" s="256"/>
      <c r="M5" s="256"/>
      <c r="N5" s="256"/>
      <c r="O5" s="256"/>
      <c r="P5" s="256"/>
      <c r="Q5" s="256"/>
    </row>
    <row r="6" spans="2:17" x14ac:dyDescent="0.25">
      <c r="B6" s="52"/>
      <c r="C6" s="10"/>
      <c r="D6" s="10"/>
      <c r="E6" s="10"/>
      <c r="F6" s="10"/>
      <c r="G6" s="10"/>
      <c r="H6" s="10"/>
      <c r="I6" s="18" t="s">
        <v>102</v>
      </c>
    </row>
    <row r="7" spans="2:17" s="25" customFormat="1" ht="13.8" thickBot="1" x14ac:dyDescent="0.3">
      <c r="B7" s="52"/>
      <c r="C7" s="10"/>
      <c r="D7" s="10"/>
      <c r="E7" s="10"/>
      <c r="F7" s="10"/>
      <c r="G7" s="10"/>
      <c r="H7" s="10"/>
      <c r="I7" s="10"/>
    </row>
    <row r="8" spans="2:17" ht="13.8" thickBot="1" x14ac:dyDescent="0.3">
      <c r="B8" s="53" t="s">
        <v>23</v>
      </c>
      <c r="C8" s="49" t="s">
        <v>26</v>
      </c>
      <c r="D8" s="49" t="s">
        <v>31</v>
      </c>
      <c r="E8" s="49" t="s">
        <v>27</v>
      </c>
      <c r="F8" s="49" t="s">
        <v>28</v>
      </c>
      <c r="G8" s="49" t="s">
        <v>29</v>
      </c>
      <c r="H8" s="49" t="s">
        <v>30</v>
      </c>
      <c r="I8" s="50" t="s">
        <v>0</v>
      </c>
    </row>
    <row r="9" spans="2:17" ht="15.6" x14ac:dyDescent="0.35">
      <c r="B9" s="82" t="s">
        <v>47</v>
      </c>
      <c r="C9" s="83">
        <v>1.1499999999999999</v>
      </c>
      <c r="D9" s="83">
        <v>1.07</v>
      </c>
      <c r="E9" s="83">
        <v>0.88500000000000001</v>
      </c>
      <c r="F9" s="83">
        <v>0.64</v>
      </c>
      <c r="G9" s="83">
        <v>7.79E-3</v>
      </c>
      <c r="H9" s="83">
        <v>4.4600000000000004E-3</v>
      </c>
      <c r="I9" s="84">
        <v>1.1299999999999999E-2</v>
      </c>
    </row>
    <row r="10" spans="2:17" ht="15.6" x14ac:dyDescent="0.25">
      <c r="B10" s="85" t="s">
        <v>19</v>
      </c>
      <c r="C10" s="86">
        <v>1.42E-3</v>
      </c>
      <c r="D10" s="86">
        <v>1.5399999999999999E-3</v>
      </c>
      <c r="E10" s="86">
        <v>2.7499999999999998E-3</v>
      </c>
      <c r="F10" s="86">
        <v>6.9399999999999996E-4</v>
      </c>
      <c r="G10" s="86">
        <v>3.0700000000000001E-5</v>
      </c>
      <c r="H10" s="86">
        <v>1.43E-5</v>
      </c>
      <c r="I10" s="87">
        <v>2.4199999999999999E-5</v>
      </c>
    </row>
    <row r="11" spans="2:17" ht="15.6" x14ac:dyDescent="0.25">
      <c r="B11" s="85" t="s">
        <v>10</v>
      </c>
      <c r="C11" s="86">
        <v>6.9499999999999996E-3</v>
      </c>
      <c r="D11" s="86">
        <v>3.2399999999999998E-3</v>
      </c>
      <c r="E11" s="86">
        <v>4.3800000000000002E-3</v>
      </c>
      <c r="F11" s="86">
        <v>2.1800000000000001E-4</v>
      </c>
      <c r="G11" s="86">
        <v>3.2100000000000001E-5</v>
      </c>
      <c r="H11" s="86">
        <v>5.3199999999999999E-6</v>
      </c>
      <c r="I11" s="87">
        <v>3.2299999999999999E-5</v>
      </c>
    </row>
    <row r="12" spans="2:17" ht="15.6" x14ac:dyDescent="0.25">
      <c r="B12" s="85" t="s">
        <v>11</v>
      </c>
      <c r="C12" s="86">
        <v>5.1000000000000004E-4</v>
      </c>
      <c r="D12" s="86">
        <v>1.93E-4</v>
      </c>
      <c r="E12" s="86">
        <v>1.26E-4</v>
      </c>
      <c r="F12" s="86">
        <v>1.1399999999999999E-5</v>
      </c>
      <c r="G12" s="86">
        <v>1.9300000000000002E-5</v>
      </c>
      <c r="H12" s="86">
        <v>3.9199999999999997E-6</v>
      </c>
      <c r="I12" s="87">
        <v>9.38E-6</v>
      </c>
    </row>
    <row r="13" spans="2:17" ht="13.8" thickBot="1" x14ac:dyDescent="0.3">
      <c r="B13" s="88" t="s">
        <v>12</v>
      </c>
      <c r="C13" s="89">
        <v>3.1999999999999999E-5</v>
      </c>
      <c r="D13" s="89">
        <v>9.7800000000000006E-5</v>
      </c>
      <c r="E13" s="89">
        <v>3.8699999999999997E-4</v>
      </c>
      <c r="F13" s="89">
        <v>3.6200000000000002E-4</v>
      </c>
      <c r="G13" s="89">
        <v>6.9099999999999999E-6</v>
      </c>
      <c r="H13" s="89">
        <v>2.65E-6</v>
      </c>
      <c r="I13" s="90">
        <v>6.5100000000000004E-6</v>
      </c>
    </row>
    <row r="14" spans="2:17" x14ac:dyDescent="0.25">
      <c r="B14" s="58"/>
      <c r="C14" s="59"/>
      <c r="D14" s="59"/>
      <c r="E14" s="59"/>
      <c r="F14" s="59"/>
      <c r="G14" s="59"/>
      <c r="H14" s="59"/>
      <c r="I14" s="60"/>
    </row>
    <row r="15" spans="2:17" s="2" customFormat="1" ht="13.8" thickBot="1" x14ac:dyDescent="0.3">
      <c r="B15" s="9"/>
      <c r="C15" s="10"/>
      <c r="D15" s="10"/>
      <c r="E15" s="10"/>
      <c r="F15" s="10"/>
      <c r="G15" s="10"/>
      <c r="H15" s="10"/>
      <c r="I15" s="10"/>
      <c r="J15" s="11"/>
    </row>
    <row r="16" spans="2:17" ht="13.8" thickBot="1" x14ac:dyDescent="0.3">
      <c r="B16" s="54" t="s">
        <v>104</v>
      </c>
      <c r="C16" s="103"/>
      <c r="E16" s="98" t="s">
        <v>97</v>
      </c>
      <c r="F16" s="98"/>
      <c r="G16" s="252"/>
      <c r="H16" s="2"/>
      <c r="I16" s="2"/>
      <c r="J16" s="13"/>
    </row>
    <row r="17" spans="2:12" ht="16.2" thickBot="1" x14ac:dyDescent="0.4">
      <c r="B17" s="55" t="s">
        <v>48</v>
      </c>
      <c r="C17" s="104">
        <f>($C$5*C9+$D$5*D9+$E$5*E9+$F$5*F9+$G$5*G9+$H$5*H9+$I$5*I9)</f>
        <v>0.43343009999999998</v>
      </c>
      <c r="E17" s="253">
        <v>900</v>
      </c>
      <c r="F17" s="254" t="s">
        <v>98</v>
      </c>
      <c r="G17" s="99"/>
      <c r="H17" s="2"/>
      <c r="I17" s="2"/>
      <c r="J17" s="13"/>
    </row>
    <row r="18" spans="2:12" ht="16.2" thickBot="1" x14ac:dyDescent="0.4">
      <c r="B18" s="27" t="s">
        <v>49</v>
      </c>
      <c r="C18" s="105">
        <f>($C$5*C10+$D$5*D10+$E$5*E10+$F$5*F10+$G$5*G10+$H$5*H10+$I$5*I10)</f>
        <v>5.9594899999999991E-4</v>
      </c>
      <c r="E18" s="2"/>
      <c r="F18" s="2"/>
      <c r="G18" s="2"/>
      <c r="H18" s="2"/>
      <c r="I18" s="2"/>
      <c r="J18" s="13"/>
    </row>
    <row r="19" spans="2:12" ht="16.2" thickBot="1" x14ac:dyDescent="0.4">
      <c r="B19" s="27" t="s">
        <v>50</v>
      </c>
      <c r="C19" s="105">
        <f>($C$5*C11+$D$5*D11+$E$5*E11+$F$5*F11+$G$5*G11+$H$5*H11+$I$5*I11)</f>
        <v>1.4879551999999999E-3</v>
      </c>
      <c r="E19" s="98" t="s">
        <v>101</v>
      </c>
      <c r="F19" s="98"/>
      <c r="G19" s="255"/>
      <c r="H19" s="2"/>
      <c r="I19" s="2"/>
      <c r="J19" s="13"/>
    </row>
    <row r="20" spans="2:12" ht="16.2" thickBot="1" x14ac:dyDescent="0.4">
      <c r="B20" s="27" t="s">
        <v>51</v>
      </c>
      <c r="C20" s="105">
        <f>($C$5*C12+$D$5*D12+$E$5*E12+$F$5*F12+$G$5*G12+$H$5*H12+$I$5*I12)</f>
        <v>1.030956E-4</v>
      </c>
      <c r="E20" s="253">
        <v>25</v>
      </c>
      <c r="F20" s="254" t="s">
        <v>100</v>
      </c>
      <c r="G20" s="99"/>
      <c r="H20" s="2"/>
      <c r="I20" s="2"/>
      <c r="J20" s="13"/>
    </row>
    <row r="21" spans="2:12" s="2" customFormat="1" ht="13.8" thickBot="1" x14ac:dyDescent="0.3">
      <c r="B21" s="56" t="s">
        <v>52</v>
      </c>
      <c r="C21" s="106">
        <f>($C$5*C13+$D$5*D13+$E$5*E13+$F$5*F13+$G$5*G13+$H$5*H13+$I$5*I13)</f>
        <v>8.8145800000000006E-5</v>
      </c>
      <c r="D21" s="12"/>
      <c r="J21" s="13"/>
    </row>
    <row r="22" spans="2:12" s="2" customFormat="1" x14ac:dyDescent="0.25">
      <c r="B22" s="10"/>
      <c r="C22" s="47"/>
      <c r="D22" s="12"/>
      <c r="J22" s="13"/>
    </row>
    <row r="23" spans="2:12" s="2" customFormat="1" ht="13.8" thickBot="1" x14ac:dyDescent="0.3">
      <c r="B23" s="10"/>
      <c r="C23" s="47"/>
      <c r="D23" s="12"/>
      <c r="J23" s="13"/>
    </row>
    <row r="24" spans="2:12" s="2" customFormat="1" ht="13.8" thickBot="1" x14ac:dyDescent="0.3">
      <c r="B24" s="98" t="s">
        <v>99</v>
      </c>
      <c r="C24" s="99"/>
      <c r="D24" s="12"/>
      <c r="J24" s="13"/>
    </row>
    <row r="25" spans="2:12" s="2" customFormat="1" ht="13.8" thickBot="1" x14ac:dyDescent="0.3">
      <c r="B25" s="56">
        <f>E17*5*E20</f>
        <v>112500</v>
      </c>
      <c r="C25" s="97" t="s">
        <v>89</v>
      </c>
      <c r="D25" s="12"/>
      <c r="J25" s="13"/>
    </row>
    <row r="26" spans="2:12" s="2" customFormat="1" x14ac:dyDescent="0.25">
      <c r="B26" s="10"/>
      <c r="C26" s="10"/>
      <c r="D26" s="12"/>
      <c r="J26" s="13"/>
    </row>
    <row r="27" spans="2:12" s="2" customFormat="1" ht="13.8" thickBot="1" x14ac:dyDescent="0.3"/>
    <row r="28" spans="2:12" ht="40.200000000000003" thickBot="1" x14ac:dyDescent="0.3">
      <c r="B28" s="100" t="s">
        <v>24</v>
      </c>
      <c r="C28" s="101" t="s">
        <v>94</v>
      </c>
      <c r="D28" s="102" t="s">
        <v>25</v>
      </c>
      <c r="F28" s="2"/>
      <c r="G28" s="2"/>
      <c r="H28" s="2"/>
      <c r="I28" s="2"/>
      <c r="J28" s="2"/>
      <c r="K28" s="2"/>
      <c r="L28" s="2"/>
    </row>
    <row r="29" spans="2:12" ht="15.6" x14ac:dyDescent="0.35">
      <c r="B29" s="57" t="s">
        <v>13</v>
      </c>
      <c r="C29" s="62">
        <f>'A1'!$B$22*'A2'!C17</f>
        <v>4864.4479338578067</v>
      </c>
      <c r="D29" s="51"/>
      <c r="F29" s="2"/>
      <c r="G29" s="2"/>
      <c r="H29" s="2"/>
      <c r="I29" s="2"/>
      <c r="J29" s="2"/>
      <c r="K29" s="2"/>
      <c r="L29" s="2"/>
    </row>
    <row r="30" spans="2:12" ht="14.4" x14ac:dyDescent="0.3">
      <c r="B30" s="118" t="s">
        <v>65</v>
      </c>
      <c r="C30" s="63"/>
      <c r="D30" s="123">
        <f>'A1'!B22/B25*C17</f>
        <v>4.3239537189847167E-2</v>
      </c>
      <c r="F30" s="48"/>
      <c r="G30" s="2"/>
      <c r="H30" s="2"/>
      <c r="I30" s="2"/>
      <c r="J30" s="2"/>
    </row>
    <row r="31" spans="2:12" ht="15.6" x14ac:dyDescent="0.35">
      <c r="B31" s="107" t="s">
        <v>14</v>
      </c>
      <c r="C31" s="108">
        <f>'A1'!$B$22*'A2'!C18</f>
        <v>6.6884207666579361</v>
      </c>
      <c r="D31" s="109"/>
      <c r="F31" s="2"/>
      <c r="G31" s="2"/>
      <c r="H31" s="2"/>
      <c r="I31" s="2"/>
      <c r="J31" s="2"/>
    </row>
    <row r="32" spans="2:12" ht="14.4" x14ac:dyDescent="0.3">
      <c r="B32" s="119" t="s">
        <v>66</v>
      </c>
      <c r="C32" s="110"/>
      <c r="D32" s="122">
        <f>'A1'!B22/B25*C18</f>
        <v>5.9452629036959429E-5</v>
      </c>
      <c r="F32" s="2"/>
      <c r="G32" s="2"/>
      <c r="H32" s="2"/>
      <c r="I32" s="2"/>
      <c r="J32" s="2"/>
    </row>
    <row r="33" spans="2:24" ht="15.6" x14ac:dyDescent="0.35">
      <c r="B33" s="57" t="s">
        <v>15</v>
      </c>
      <c r="C33" s="62">
        <f>'A1'!$B$22*'A2'!C19</f>
        <v>16.699533784831694</v>
      </c>
      <c r="D33" s="51"/>
      <c r="F33" s="2"/>
      <c r="G33" s="2"/>
      <c r="H33" s="2"/>
      <c r="I33" s="2"/>
      <c r="J33" s="2"/>
    </row>
    <row r="34" spans="2:24" ht="14.4" x14ac:dyDescent="0.3">
      <c r="B34" s="118" t="s">
        <v>67</v>
      </c>
      <c r="C34" s="63"/>
      <c r="D34" s="123">
        <f>'A1'!B22/B25*C19</f>
        <v>1.4844030030961505E-4</v>
      </c>
      <c r="F34" s="2"/>
      <c r="G34" s="2"/>
      <c r="H34" s="2"/>
      <c r="I34" s="2"/>
      <c r="J34" s="2"/>
    </row>
    <row r="35" spans="2:24" ht="15.6" x14ac:dyDescent="0.35">
      <c r="B35" s="107" t="s">
        <v>16</v>
      </c>
      <c r="C35" s="108">
        <f>'A1'!$B$22*'A2'!C20</f>
        <v>1.1570566474497985</v>
      </c>
      <c r="D35" s="109"/>
      <c r="F35" s="2"/>
      <c r="G35" s="2"/>
      <c r="H35" s="2"/>
      <c r="I35" s="2"/>
      <c r="J35" s="2"/>
    </row>
    <row r="36" spans="2:24" ht="14.4" x14ac:dyDescent="0.3">
      <c r="B36" s="119" t="s">
        <v>96</v>
      </c>
      <c r="C36" s="110"/>
      <c r="D36" s="122">
        <f>'A1'!B22/B25*C20</f>
        <v>1.0284947977331542E-5</v>
      </c>
      <c r="F36" s="2"/>
      <c r="G36" s="2"/>
      <c r="H36" s="2"/>
      <c r="I36" s="2"/>
      <c r="J36" s="2"/>
    </row>
    <row r="37" spans="2:24" x14ac:dyDescent="0.25">
      <c r="B37" s="57" t="s">
        <v>17</v>
      </c>
      <c r="C37" s="62">
        <f>'A1'!$B$22*'A2'!C21</f>
        <v>0.98927290626157138</v>
      </c>
      <c r="D37" s="51"/>
      <c r="F37" s="2"/>
      <c r="G37" s="2"/>
      <c r="H37" s="2"/>
      <c r="I37" s="2"/>
      <c r="J37" s="2"/>
    </row>
    <row r="38" spans="2:24" ht="13.8" thickBot="1" x14ac:dyDescent="0.3">
      <c r="B38" s="120" t="s">
        <v>18</v>
      </c>
      <c r="C38" s="64"/>
      <c r="D38" s="121">
        <f>'A1'!B22/B25*C21</f>
        <v>8.7935369445473001E-6</v>
      </c>
      <c r="F38" s="2"/>
      <c r="G38" s="2"/>
      <c r="H38" s="2"/>
      <c r="I38" s="2"/>
      <c r="J38" s="2"/>
    </row>
    <row r="39" spans="2:24" s="2" customFormat="1" x14ac:dyDescent="0.25">
      <c r="C39" s="14"/>
      <c r="D39" s="14"/>
      <c r="E39" s="15"/>
    </row>
    <row r="40" spans="2:24" x14ac:dyDescent="0.25">
      <c r="B40" s="2"/>
      <c r="C40" s="14"/>
      <c r="D40" s="14"/>
      <c r="E40" s="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x14ac:dyDescent="0.25">
      <c r="B41" s="2"/>
      <c r="C41" s="14"/>
      <c r="D41" s="14"/>
      <c r="E41" s="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25">
      <c r="B42" s="2"/>
      <c r="C42" s="14"/>
      <c r="D42" s="14"/>
      <c r="E42" s="1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x14ac:dyDescent="0.25">
      <c r="B43" s="2"/>
      <c r="C43" s="14"/>
      <c r="D43" s="14"/>
      <c r="E43" s="1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x14ac:dyDescent="0.25">
      <c r="B44" s="2"/>
      <c r="C44" s="14"/>
      <c r="D44" s="14"/>
      <c r="E44" s="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x14ac:dyDescent="0.25">
      <c r="B45" s="2"/>
      <c r="C45" s="14"/>
      <c r="D45" s="14"/>
      <c r="E45" s="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x14ac:dyDescent="0.25">
      <c r="B46" s="2"/>
      <c r="C46" s="14"/>
      <c r="D46" s="14"/>
      <c r="E46" s="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25">
      <c r="B47" s="2"/>
      <c r="C47" s="14"/>
      <c r="D47" s="14"/>
      <c r="E47" s="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25">
      <c r="B48" s="2"/>
      <c r="C48" s="14"/>
      <c r="D48" s="14"/>
      <c r="E48" s="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x14ac:dyDescent="0.25">
      <c r="B49" s="2"/>
      <c r="C49" s="14"/>
      <c r="D49" s="14"/>
      <c r="E49" s="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25">
      <c r="B50" s="2"/>
      <c r="C50" s="14"/>
      <c r="D50" s="14"/>
      <c r="E50" s="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25">
      <c r="B51" s="2"/>
      <c r="C51" s="14"/>
      <c r="D51" s="14"/>
      <c r="E51" s="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25">
      <c r="B52" s="2"/>
      <c r="C52" s="14"/>
      <c r="D52" s="14"/>
      <c r="E52" s="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25">
      <c r="B53" s="2"/>
      <c r="C53" s="14"/>
      <c r="D53" s="14"/>
      <c r="E53" s="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25">
      <c r="B54" s="2"/>
      <c r="C54" s="14"/>
      <c r="D54" s="14"/>
      <c r="E54" s="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25">
      <c r="B55" s="2"/>
      <c r="C55" s="14"/>
      <c r="D55" s="14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25">
      <c r="B56" s="2"/>
      <c r="C56" s="14"/>
      <c r="D56" s="14"/>
      <c r="E56" s="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25">
      <c r="B57" s="2"/>
      <c r="C57" s="14"/>
      <c r="D57" s="14"/>
      <c r="E57" s="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25">
      <c r="B58" s="2"/>
      <c r="C58" s="14"/>
      <c r="D58" s="14"/>
      <c r="E58" s="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25">
      <c r="B59" s="2"/>
      <c r="C59" s="14"/>
      <c r="D59" s="14"/>
      <c r="E59" s="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25">
      <c r="B60" s="2"/>
      <c r="C60" s="14"/>
      <c r="D60" s="14"/>
      <c r="E60" s="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25">
      <c r="B61" s="2"/>
      <c r="C61" s="14"/>
      <c r="D61" s="14"/>
      <c r="E61" s="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B62" s="2"/>
      <c r="C62" s="14"/>
      <c r="D62" s="14"/>
      <c r="E62" s="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B63" s="2"/>
      <c r="C63" s="14"/>
      <c r="D63" s="14"/>
      <c r="E63" s="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B64" s="2"/>
      <c r="C64" s="14"/>
      <c r="D64" s="14"/>
      <c r="E64" s="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25">
      <c r="B65" s="2"/>
      <c r="C65" s="14"/>
      <c r="D65" s="14"/>
      <c r="E65" s="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25">
      <c r="B66" s="2"/>
      <c r="C66" s="14"/>
      <c r="D66" s="14"/>
      <c r="E66" s="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25">
      <c r="B67" s="2"/>
      <c r="C67" s="14"/>
      <c r="D67" s="14"/>
      <c r="E67" s="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25">
      <c r="B68" s="2"/>
      <c r="C68" s="14"/>
      <c r="D68" s="14"/>
      <c r="E68" s="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5">
      <c r="B69" s="2"/>
      <c r="C69" s="14"/>
      <c r="D69" s="14"/>
      <c r="E69" s="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5">
      <c r="B70" s="2"/>
      <c r="C70" s="14"/>
      <c r="D70" s="14"/>
      <c r="E70" s="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5">
      <c r="B71" s="2"/>
      <c r="C71" s="14"/>
      <c r="D71" s="14"/>
      <c r="E71" s="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x14ac:dyDescent="0.25">
      <c r="B72" s="2"/>
      <c r="C72" s="14"/>
      <c r="D72" s="14"/>
      <c r="E72" s="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5">
      <c r="B73" s="2"/>
      <c r="C73" s="14"/>
      <c r="D73" s="14"/>
      <c r="E73" s="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5">
      <c r="B74" s="2"/>
      <c r="C74" s="14"/>
      <c r="D74" s="14"/>
      <c r="E74" s="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5">
      <c r="B75" s="2"/>
      <c r="C75" s="14"/>
      <c r="D75" s="14"/>
      <c r="E75" s="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5">
      <c r="B76" s="2"/>
      <c r="C76" s="14"/>
      <c r="D76" s="14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25">
      <c r="B77" s="2"/>
      <c r="C77" s="14"/>
      <c r="D77" s="14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25">
      <c r="B78" s="2"/>
      <c r="C78" s="14"/>
      <c r="D78" s="14"/>
      <c r="E78" s="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25">
      <c r="B79" s="2"/>
      <c r="C79" s="14"/>
      <c r="D79" s="14"/>
      <c r="E79" s="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5"/>
  <sheetViews>
    <sheetView tabSelected="1" workbookViewId="0">
      <selection activeCell="S7" sqref="S7"/>
    </sheetView>
  </sheetViews>
  <sheetFormatPr defaultColWidth="11.44140625" defaultRowHeight="13.2" x14ac:dyDescent="0.25"/>
  <cols>
    <col min="1" max="1" width="11.44140625" style="67"/>
    <col min="2" max="2" width="23.6640625" style="67" customWidth="1"/>
    <col min="3" max="5" width="11.44140625" style="67"/>
    <col min="6" max="10" width="11.44140625" style="67" hidden="1" customWidth="1"/>
    <col min="11" max="14" width="11.44140625" style="67"/>
    <col min="18" max="16384" width="11.44140625" style="67"/>
  </cols>
  <sheetData>
    <row r="2" spans="2:24" ht="15.6" x14ac:dyDescent="0.3">
      <c r="B2" s="17" t="s">
        <v>88</v>
      </c>
    </row>
    <row r="3" spans="2:24" ht="13.8" thickBot="1" x14ac:dyDescent="0.3"/>
    <row r="4" spans="2:24" s="65" customFormat="1" ht="40.200000000000003" thickBot="1" x14ac:dyDescent="0.3">
      <c r="B4" s="137"/>
      <c r="C4" s="249" t="s">
        <v>70</v>
      </c>
      <c r="D4" s="250" t="s">
        <v>71</v>
      </c>
      <c r="E4" s="251" t="s">
        <v>87</v>
      </c>
      <c r="F4" s="232" t="s">
        <v>26</v>
      </c>
      <c r="G4" s="156" t="s">
        <v>31</v>
      </c>
      <c r="H4" s="156" t="s">
        <v>27</v>
      </c>
      <c r="I4" s="156" t="s">
        <v>28</v>
      </c>
      <c r="J4" s="199" t="s">
        <v>53</v>
      </c>
      <c r="K4" s="209" t="s">
        <v>54</v>
      </c>
      <c r="L4" s="156" t="s">
        <v>0</v>
      </c>
      <c r="M4" s="156" t="s">
        <v>29</v>
      </c>
      <c r="N4" s="157" t="s">
        <v>28</v>
      </c>
      <c r="R4" s="73"/>
      <c r="S4" s="73"/>
    </row>
    <row r="5" spans="2:24" x14ac:dyDescent="0.25">
      <c r="B5" s="135" t="s">
        <v>55</v>
      </c>
      <c r="C5" s="158">
        <v>70</v>
      </c>
      <c r="D5" s="159"/>
      <c r="E5" s="220"/>
      <c r="F5" s="233"/>
      <c r="G5" s="160"/>
      <c r="H5" s="160"/>
      <c r="I5" s="160"/>
      <c r="J5" s="200"/>
      <c r="K5" s="210">
        <v>28.985507246376809</v>
      </c>
      <c r="L5" s="160">
        <v>0</v>
      </c>
      <c r="M5" s="160">
        <v>100</v>
      </c>
      <c r="N5" s="161">
        <v>78.260869565217391</v>
      </c>
      <c r="R5" s="66"/>
      <c r="S5" s="66"/>
    </row>
    <row r="6" spans="2:24" ht="26.4" x14ac:dyDescent="0.25">
      <c r="B6" s="136" t="s">
        <v>73</v>
      </c>
      <c r="C6" s="162">
        <v>30</v>
      </c>
      <c r="D6" s="163"/>
      <c r="E6" s="222"/>
      <c r="F6" s="234"/>
      <c r="G6" s="164"/>
      <c r="H6" s="164"/>
      <c r="I6" s="164"/>
      <c r="J6" s="201"/>
      <c r="K6" s="211">
        <v>100</v>
      </c>
      <c r="L6" s="164">
        <v>96.25</v>
      </c>
      <c r="M6" s="164">
        <v>62.5</v>
      </c>
      <c r="N6" s="165">
        <v>0</v>
      </c>
      <c r="R6" s="66"/>
      <c r="S6" s="66"/>
    </row>
    <row r="7" spans="2:24" s="68" customFormat="1" ht="13.8" thickBot="1" x14ac:dyDescent="0.3">
      <c r="B7" s="134" t="s">
        <v>68</v>
      </c>
      <c r="C7" s="166">
        <f>SUM(C5:C6)</f>
        <v>100</v>
      </c>
      <c r="D7" s="167">
        <v>60</v>
      </c>
      <c r="E7" s="242"/>
      <c r="F7" s="235"/>
      <c r="G7" s="168"/>
      <c r="H7" s="168"/>
      <c r="I7" s="168"/>
      <c r="J7" s="202"/>
      <c r="K7" s="212">
        <f>SUMPRODUCT(K5:K6,$C5:$C6)/100</f>
        <v>50.289855072463759</v>
      </c>
      <c r="L7" s="169">
        <f>SUMPRODUCT(L5:L6,$C5:$C6)/100</f>
        <v>28.875</v>
      </c>
      <c r="M7" s="169">
        <f>SUMPRODUCT(M5:M6,$C5:$C6)/100</f>
        <v>88.75</v>
      </c>
      <c r="N7" s="170">
        <f>SUMPRODUCT(N5:N6,$C5:$C6)/100</f>
        <v>54.782608695652172</v>
      </c>
      <c r="R7" s="66"/>
      <c r="S7" s="77"/>
      <c r="T7" s="78"/>
      <c r="U7" s="78"/>
      <c r="V7" s="78"/>
      <c r="W7" s="78"/>
      <c r="X7" s="78"/>
    </row>
    <row r="8" spans="2:24" x14ac:dyDescent="0.25">
      <c r="B8" s="135" t="s">
        <v>72</v>
      </c>
      <c r="C8" s="171">
        <v>30</v>
      </c>
      <c r="D8" s="159"/>
      <c r="E8" s="220"/>
      <c r="F8" s="233"/>
      <c r="G8" s="160"/>
      <c r="H8" s="160"/>
      <c r="I8" s="160"/>
      <c r="J8" s="200"/>
      <c r="K8" s="210">
        <v>33.333333333333336</v>
      </c>
      <c r="L8" s="160">
        <v>0</v>
      </c>
      <c r="M8" s="160">
        <v>100</v>
      </c>
      <c r="N8" s="161">
        <v>100</v>
      </c>
      <c r="R8" s="66"/>
      <c r="S8" s="66"/>
    </row>
    <row r="9" spans="2:24" x14ac:dyDescent="0.25">
      <c r="B9" s="125" t="s">
        <v>57</v>
      </c>
      <c r="C9" s="172">
        <v>20</v>
      </c>
      <c r="D9" s="163"/>
      <c r="E9" s="222"/>
      <c r="F9" s="236"/>
      <c r="G9" s="173"/>
      <c r="H9" s="173"/>
      <c r="I9" s="173"/>
      <c r="J9" s="203"/>
      <c r="K9" s="213">
        <v>100</v>
      </c>
      <c r="L9" s="173">
        <v>83.333333333333329</v>
      </c>
      <c r="M9" s="173">
        <v>66.666666666666671</v>
      </c>
      <c r="N9" s="174">
        <v>0</v>
      </c>
      <c r="R9" s="66"/>
      <c r="S9" s="66"/>
    </row>
    <row r="10" spans="2:24" s="66" customFormat="1" ht="24.75" customHeight="1" x14ac:dyDescent="0.25">
      <c r="B10" s="124" t="s">
        <v>58</v>
      </c>
      <c r="C10" s="172">
        <v>10</v>
      </c>
      <c r="D10" s="163"/>
      <c r="E10" s="222"/>
      <c r="F10" s="234"/>
      <c r="G10" s="164"/>
      <c r="H10" s="164"/>
      <c r="I10" s="164"/>
      <c r="J10" s="201"/>
      <c r="K10" s="213">
        <v>100</v>
      </c>
      <c r="L10" s="173">
        <v>100</v>
      </c>
      <c r="M10" s="173">
        <v>0</v>
      </c>
      <c r="N10" s="174">
        <v>0</v>
      </c>
    </row>
    <row r="11" spans="2:24" ht="26.4" x14ac:dyDescent="0.25">
      <c r="B11" s="124" t="s">
        <v>59</v>
      </c>
      <c r="C11" s="172">
        <v>20</v>
      </c>
      <c r="D11" s="163"/>
      <c r="E11" s="222"/>
      <c r="F11" s="234"/>
      <c r="G11" s="164"/>
      <c r="H11" s="164"/>
      <c r="I11" s="164"/>
      <c r="J11" s="201"/>
      <c r="K11" s="211">
        <v>100</v>
      </c>
      <c r="L11" s="164">
        <v>0</v>
      </c>
      <c r="M11" s="164">
        <v>88.211708099438667</v>
      </c>
      <c r="N11" s="165">
        <v>90.884790163058014</v>
      </c>
      <c r="R11" s="66"/>
      <c r="S11" s="66"/>
    </row>
    <row r="12" spans="2:24" x14ac:dyDescent="0.25">
      <c r="B12" s="124" t="s">
        <v>60</v>
      </c>
      <c r="C12" s="172">
        <v>20</v>
      </c>
      <c r="D12" s="163"/>
      <c r="E12" s="222"/>
      <c r="F12" s="234"/>
      <c r="G12" s="164"/>
      <c r="H12" s="164"/>
      <c r="I12" s="164"/>
      <c r="J12" s="201"/>
      <c r="K12" s="211">
        <v>30</v>
      </c>
      <c r="L12" s="164">
        <v>0</v>
      </c>
      <c r="M12" s="164">
        <v>10</v>
      </c>
      <c r="N12" s="165">
        <v>100</v>
      </c>
      <c r="R12" s="66"/>
      <c r="S12" s="66"/>
    </row>
    <row r="13" spans="2:24" s="1" customFormat="1" ht="13.8" thickBot="1" x14ac:dyDescent="0.3">
      <c r="B13" s="132" t="s">
        <v>56</v>
      </c>
      <c r="C13" s="175">
        <f>SUM(C8:C12)</f>
        <v>100</v>
      </c>
      <c r="D13" s="176">
        <v>40</v>
      </c>
      <c r="E13" s="243"/>
      <c r="F13" s="237"/>
      <c r="G13" s="177"/>
      <c r="H13" s="177"/>
      <c r="I13" s="177"/>
      <c r="J13" s="204"/>
      <c r="K13" s="214">
        <f>SUMPRODUCT(K8:K12,$C8:$C12)/100</f>
        <v>66</v>
      </c>
      <c r="L13" s="178">
        <f>SUMPRODUCT(L8:L12,$C8:$C12)/100</f>
        <v>26.666666666666664</v>
      </c>
      <c r="M13" s="178">
        <f>SUMPRODUCT(M8:M12,$C8:$C12)/100</f>
        <v>62.97567495322108</v>
      </c>
      <c r="N13" s="179">
        <f>SUMPRODUCT(N8:N12,$C8:$C12)/100</f>
        <v>68.176958032611594</v>
      </c>
      <c r="R13" s="52"/>
      <c r="S13" s="52"/>
      <c r="T13" s="79"/>
      <c r="U13" s="79"/>
      <c r="V13" s="79"/>
      <c r="W13" s="79"/>
      <c r="X13" s="79"/>
    </row>
    <row r="14" spans="2:24" s="1" customFormat="1" ht="13.8" thickBot="1" x14ac:dyDescent="0.3">
      <c r="B14" s="126" t="s">
        <v>69</v>
      </c>
      <c r="C14" s="180"/>
      <c r="D14" s="181">
        <f>D7+D13</f>
        <v>100</v>
      </c>
      <c r="E14" s="227">
        <f>1/3*100</f>
        <v>33.333333333333329</v>
      </c>
      <c r="F14" s="238"/>
      <c r="G14" s="182"/>
      <c r="H14" s="182"/>
      <c r="I14" s="182"/>
      <c r="J14" s="205"/>
      <c r="K14" s="215">
        <f>(K7*$D7+K13*$D13)/100</f>
        <v>56.573913043478257</v>
      </c>
      <c r="L14" s="183">
        <f>(L7*$D7+L13*$D13)/100</f>
        <v>27.991666666666664</v>
      </c>
      <c r="M14" s="183">
        <f>(M7*$D7+M13*$D13)/100</f>
        <v>78.440269981288438</v>
      </c>
      <c r="N14" s="184">
        <f>(N7*$D7+N13*$D13)/100</f>
        <v>60.140348430435942</v>
      </c>
      <c r="R14" s="52"/>
      <c r="S14" s="52"/>
      <c r="T14" s="79"/>
      <c r="U14" s="79"/>
      <c r="V14" s="79"/>
      <c r="W14" s="79"/>
      <c r="X14" s="79"/>
    </row>
    <row r="15" spans="2:24" s="1" customFormat="1" ht="13.8" thickBot="1" x14ac:dyDescent="0.3">
      <c r="B15" s="52"/>
      <c r="C15" s="162"/>
      <c r="D15" s="219"/>
      <c r="E15" s="244"/>
      <c r="F15" s="76"/>
      <c r="G15" s="76"/>
      <c r="H15" s="76"/>
      <c r="I15" s="76"/>
      <c r="J15" s="76"/>
      <c r="K15" s="247"/>
      <c r="L15" s="228"/>
      <c r="M15" s="228"/>
      <c r="N15" s="248"/>
      <c r="R15" s="52"/>
      <c r="S15" s="52"/>
      <c r="T15" s="79"/>
      <c r="U15" s="79"/>
      <c r="V15" s="79"/>
      <c r="W15" s="79"/>
      <c r="X15" s="79"/>
    </row>
    <row r="16" spans="2:24" s="69" customFormat="1" x14ac:dyDescent="0.25">
      <c r="B16" s="135" t="s">
        <v>74</v>
      </c>
      <c r="C16" s="185"/>
      <c r="D16" s="186">
        <v>40</v>
      </c>
      <c r="E16" s="245"/>
      <c r="F16" s="239"/>
      <c r="G16" s="187"/>
      <c r="H16" s="187"/>
      <c r="I16" s="187"/>
      <c r="J16" s="206"/>
      <c r="K16" s="216">
        <v>100</v>
      </c>
      <c r="L16" s="188">
        <v>98.56801909307876</v>
      </c>
      <c r="M16" s="188">
        <v>98.56801909307876</v>
      </c>
      <c r="N16" s="189">
        <v>0</v>
      </c>
      <c r="R16" s="74"/>
      <c r="S16" s="74"/>
    </row>
    <row r="17" spans="2:19" s="69" customFormat="1" ht="26.4" x14ac:dyDescent="0.25">
      <c r="B17" s="129" t="s">
        <v>75</v>
      </c>
      <c r="C17" s="190"/>
      <c r="D17" s="191">
        <v>30</v>
      </c>
      <c r="E17" s="223"/>
      <c r="F17" s="240"/>
      <c r="G17" s="192"/>
      <c r="H17" s="192"/>
      <c r="I17" s="192"/>
      <c r="J17" s="207"/>
      <c r="K17" s="217">
        <v>100</v>
      </c>
      <c r="L17" s="193">
        <v>87.012987012987011</v>
      </c>
      <c r="M17" s="193">
        <v>94.805194805194802</v>
      </c>
      <c r="N17" s="194">
        <v>0</v>
      </c>
      <c r="R17" s="74"/>
      <c r="S17" s="74"/>
    </row>
    <row r="18" spans="2:19" s="69" customFormat="1" x14ac:dyDescent="0.25">
      <c r="B18" s="124" t="s">
        <v>76</v>
      </c>
      <c r="C18" s="190"/>
      <c r="D18" s="191">
        <v>10</v>
      </c>
      <c r="E18" s="223"/>
      <c r="F18" s="240"/>
      <c r="G18" s="192"/>
      <c r="H18" s="192"/>
      <c r="I18" s="192"/>
      <c r="J18" s="207"/>
      <c r="K18" s="217">
        <v>0</v>
      </c>
      <c r="L18" s="193">
        <v>75.431071991221188</v>
      </c>
      <c r="M18" s="193">
        <v>100</v>
      </c>
      <c r="N18" s="194">
        <v>53.202041888040362</v>
      </c>
      <c r="R18" s="74"/>
      <c r="S18" s="74"/>
    </row>
    <row r="19" spans="2:19" s="69" customFormat="1" x14ac:dyDescent="0.25">
      <c r="B19" s="124" t="s">
        <v>78</v>
      </c>
      <c r="C19" s="190"/>
      <c r="D19" s="191">
        <v>15</v>
      </c>
      <c r="E19" s="223"/>
      <c r="F19" s="240"/>
      <c r="G19" s="192"/>
      <c r="H19" s="192"/>
      <c r="I19" s="192"/>
      <c r="J19" s="207"/>
      <c r="K19" s="217">
        <v>96.809680968096799</v>
      </c>
      <c r="L19" s="193">
        <v>100</v>
      </c>
      <c r="M19" s="193">
        <v>78.107810781078115</v>
      </c>
      <c r="N19" s="194">
        <v>0</v>
      </c>
      <c r="R19" s="74"/>
      <c r="S19" s="74"/>
    </row>
    <row r="20" spans="2:19" s="69" customFormat="1" ht="13.8" thickBot="1" x14ac:dyDescent="0.3">
      <c r="B20" s="124" t="s">
        <v>77</v>
      </c>
      <c r="C20" s="190"/>
      <c r="D20" s="191">
        <v>5</v>
      </c>
      <c r="E20" s="223"/>
      <c r="F20" s="240"/>
      <c r="G20" s="192"/>
      <c r="H20" s="192"/>
      <c r="I20" s="192"/>
      <c r="J20" s="207"/>
      <c r="K20" s="217">
        <v>0</v>
      </c>
      <c r="L20" s="193">
        <v>4.5454545454545494</v>
      </c>
      <c r="M20" s="193">
        <v>40.909090909090921</v>
      </c>
      <c r="N20" s="194">
        <v>100</v>
      </c>
      <c r="R20" s="74"/>
      <c r="S20" s="74"/>
    </row>
    <row r="21" spans="2:19" s="69" customFormat="1" ht="13.8" thickBot="1" x14ac:dyDescent="0.3">
      <c r="B21" s="139" t="s">
        <v>79</v>
      </c>
      <c r="C21" s="155"/>
      <c r="D21" s="195">
        <f>SUM(D16:D20)</f>
        <v>100</v>
      </c>
      <c r="E21" s="246">
        <f>1/3*100</f>
        <v>33.333333333333329</v>
      </c>
      <c r="F21" s="241"/>
      <c r="G21" s="196"/>
      <c r="H21" s="196"/>
      <c r="I21" s="196"/>
      <c r="J21" s="208"/>
      <c r="K21" s="218">
        <f>SUMPRODUCT(K16:K20,$D16:$D20)/100</f>
        <v>84.521452145214511</v>
      </c>
      <c r="L21" s="197">
        <f>SUMPRODUCT(L16:L20,$D16:$D20)/100</f>
        <v>88.301483667522447</v>
      </c>
      <c r="M21" s="197">
        <f>SUMPRODUCT(M16:M20,$D16:$D20)/100</f>
        <v>91.630392241406213</v>
      </c>
      <c r="N21" s="198">
        <f>SUMPRODUCT(N16:N20,$D16:$D20)/100</f>
        <v>10.320204188804036</v>
      </c>
      <c r="R21" s="74"/>
      <c r="S21" s="74"/>
    </row>
    <row r="22" spans="2:19" s="69" customFormat="1" ht="13.8" thickBot="1" x14ac:dyDescent="0.3">
      <c r="B22" s="70"/>
      <c r="C22" s="190"/>
      <c r="D22" s="163"/>
      <c r="E22" s="244"/>
      <c r="F22" s="76"/>
      <c r="G22" s="76"/>
      <c r="H22" s="76"/>
      <c r="I22" s="76"/>
      <c r="J22" s="76"/>
      <c r="K22" s="247"/>
      <c r="L22" s="228"/>
      <c r="M22" s="228"/>
      <c r="N22" s="248"/>
      <c r="R22" s="74"/>
      <c r="S22" s="74"/>
    </row>
    <row r="23" spans="2:19" ht="26.4" x14ac:dyDescent="0.25">
      <c r="B23" s="141" t="s">
        <v>81</v>
      </c>
      <c r="C23" s="158"/>
      <c r="D23" s="258">
        <v>5</v>
      </c>
      <c r="E23" s="220"/>
      <c r="F23" s="142"/>
      <c r="G23" s="142"/>
      <c r="H23" s="142"/>
      <c r="I23" s="142"/>
      <c r="J23" s="142"/>
      <c r="K23" s="216">
        <v>100</v>
      </c>
      <c r="L23" s="188">
        <v>19.202226345083488</v>
      </c>
      <c r="M23" s="188">
        <v>0</v>
      </c>
      <c r="N23" s="189">
        <v>45.454545454545453</v>
      </c>
      <c r="R23" s="66"/>
      <c r="S23" s="66"/>
    </row>
    <row r="24" spans="2:19" x14ac:dyDescent="0.25">
      <c r="B24" s="129" t="s">
        <v>80</v>
      </c>
      <c r="C24" s="162"/>
      <c r="D24" s="221">
        <v>10</v>
      </c>
      <c r="E24" s="222"/>
      <c r="F24" s="81"/>
      <c r="G24" s="81"/>
      <c r="H24" s="81"/>
      <c r="I24" s="81"/>
      <c r="J24" s="81"/>
      <c r="K24" s="217">
        <v>100</v>
      </c>
      <c r="L24" s="193">
        <v>100</v>
      </c>
      <c r="M24" s="193">
        <v>0</v>
      </c>
      <c r="N24" s="194">
        <v>100</v>
      </c>
      <c r="R24" s="66"/>
      <c r="S24" s="66"/>
    </row>
    <row r="25" spans="2:19" s="69" customFormat="1" ht="26.4" x14ac:dyDescent="0.25">
      <c r="B25" s="136" t="s">
        <v>82</v>
      </c>
      <c r="C25" s="190"/>
      <c r="D25" s="221">
        <v>55</v>
      </c>
      <c r="E25" s="223"/>
      <c r="F25" s="80"/>
      <c r="G25" s="80"/>
      <c r="H25" s="80"/>
      <c r="I25" s="80"/>
      <c r="J25" s="80"/>
      <c r="K25" s="217">
        <v>66.666666666666671</v>
      </c>
      <c r="L25" s="193">
        <v>88.8888888888889</v>
      </c>
      <c r="M25" s="193">
        <v>100</v>
      </c>
      <c r="N25" s="194">
        <v>0</v>
      </c>
      <c r="R25" s="74"/>
      <c r="S25" s="74"/>
    </row>
    <row r="26" spans="2:19" x14ac:dyDescent="0.25">
      <c r="B26" s="129" t="s">
        <v>83</v>
      </c>
      <c r="C26" s="162"/>
      <c r="D26" s="221">
        <v>5</v>
      </c>
      <c r="E26" s="222"/>
      <c r="F26" s="81"/>
      <c r="G26" s="81"/>
      <c r="H26" s="81"/>
      <c r="I26" s="81"/>
      <c r="J26" s="81"/>
      <c r="K26" s="217">
        <v>40</v>
      </c>
      <c r="L26" s="193">
        <v>0</v>
      </c>
      <c r="M26" s="193">
        <v>60</v>
      </c>
      <c r="N26" s="194">
        <v>100</v>
      </c>
      <c r="R26" s="66"/>
      <c r="S26" s="66"/>
    </row>
    <row r="27" spans="2:19" ht="26.4" x14ac:dyDescent="0.25">
      <c r="B27" s="129" t="s">
        <v>84</v>
      </c>
      <c r="C27" s="162"/>
      <c r="D27" s="221">
        <v>10</v>
      </c>
      <c r="E27" s="222"/>
      <c r="F27" s="81"/>
      <c r="G27" s="81"/>
      <c r="H27" s="81"/>
      <c r="I27" s="81"/>
      <c r="J27" s="81"/>
      <c r="K27" s="217">
        <v>100</v>
      </c>
      <c r="L27" s="193">
        <v>99.900999009990102</v>
      </c>
      <c r="M27" s="193">
        <v>0</v>
      </c>
      <c r="N27" s="194">
        <v>100</v>
      </c>
      <c r="R27" s="66"/>
      <c r="S27" s="66"/>
    </row>
    <row r="28" spans="2:19" ht="27" thickBot="1" x14ac:dyDescent="0.3">
      <c r="B28" s="143" t="s">
        <v>85</v>
      </c>
      <c r="C28" s="180"/>
      <c r="D28" s="224">
        <v>15</v>
      </c>
      <c r="E28" s="225"/>
      <c r="F28" s="144"/>
      <c r="G28" s="144"/>
      <c r="H28" s="144"/>
      <c r="I28" s="144"/>
      <c r="J28" s="144"/>
      <c r="K28" s="229">
        <v>96.009600960096009</v>
      </c>
      <c r="L28" s="230">
        <v>100</v>
      </c>
      <c r="M28" s="230">
        <v>0</v>
      </c>
      <c r="N28" s="231">
        <v>99.809980998099803</v>
      </c>
      <c r="R28" s="66"/>
      <c r="S28" s="66"/>
    </row>
    <row r="29" spans="2:19" ht="13.8" thickBot="1" x14ac:dyDescent="0.3">
      <c r="B29" s="138" t="s">
        <v>86</v>
      </c>
      <c r="C29" s="180"/>
      <c r="D29" s="226">
        <f>SUM(D23:D28)</f>
        <v>100</v>
      </c>
      <c r="E29" s="227">
        <f>1/3*100</f>
        <v>33.333333333333329</v>
      </c>
      <c r="F29" s="145"/>
      <c r="G29" s="145"/>
      <c r="H29" s="145"/>
      <c r="I29" s="145"/>
      <c r="J29" s="145"/>
      <c r="K29" s="229">
        <f>SUMPRODUCT(K23:K28,$D23:$D28)/100</f>
        <v>78.068106810681073</v>
      </c>
      <c r="L29" s="230">
        <f>SUMPRODUCT(L23:L28,$D23:$D28)/100</f>
        <v>84.839100107142073</v>
      </c>
      <c r="M29" s="230">
        <f>SUMPRODUCT(M23:M28,$D23:$D28)/100</f>
        <v>58</v>
      </c>
      <c r="N29" s="231">
        <f>SUMPRODUCT(N23:N28,$D23:$D28)/100</f>
        <v>42.244224422442237</v>
      </c>
      <c r="R29" s="66"/>
      <c r="S29" s="66"/>
    </row>
    <row r="30" spans="2:19" x14ac:dyDescent="0.25">
      <c r="B30" s="71"/>
      <c r="C30" s="66"/>
      <c r="D30" s="73"/>
      <c r="E30" s="130"/>
      <c r="F30" s="72"/>
      <c r="G30" s="72"/>
      <c r="H30" s="72"/>
      <c r="I30" s="72"/>
      <c r="J30" s="72"/>
      <c r="K30" s="72"/>
      <c r="L30" s="72"/>
      <c r="M30" s="72"/>
      <c r="N30" s="72"/>
      <c r="R30" s="66"/>
      <c r="S30" s="66"/>
    </row>
    <row r="31" spans="2:19" s="66" customFormat="1" ht="13.8" thickBot="1" x14ac:dyDescent="0.3">
      <c r="B31" s="75"/>
      <c r="C31" s="73"/>
      <c r="E31" s="131"/>
      <c r="F31" s="72"/>
      <c r="G31" s="72"/>
      <c r="H31" s="72"/>
      <c r="I31" s="72"/>
      <c r="J31" s="72"/>
      <c r="K31" s="72"/>
      <c r="L31" s="72"/>
      <c r="M31" s="72"/>
      <c r="N31" s="72"/>
    </row>
    <row r="32" spans="2:19" ht="13.8" thickBot="1" x14ac:dyDescent="0.3">
      <c r="B32" s="66"/>
      <c r="C32" s="150" t="s">
        <v>61</v>
      </c>
      <c r="D32" s="140"/>
      <c r="E32" s="140"/>
      <c r="F32" s="151"/>
      <c r="G32" s="151"/>
      <c r="H32" s="151"/>
      <c r="I32" s="151"/>
      <c r="J32" s="151"/>
      <c r="K32" s="152" t="s">
        <v>54</v>
      </c>
      <c r="L32" s="153" t="s">
        <v>0</v>
      </c>
      <c r="M32" s="153" t="s">
        <v>29</v>
      </c>
      <c r="N32" s="154" t="s">
        <v>28</v>
      </c>
      <c r="R32" s="66"/>
      <c r="S32" s="66"/>
    </row>
    <row r="33" spans="2:19" ht="13.8" thickBot="1" x14ac:dyDescent="0.3">
      <c r="C33" s="133"/>
      <c r="D33" s="128"/>
      <c r="E33" s="128"/>
      <c r="F33" s="127"/>
      <c r="G33" s="127"/>
      <c r="H33" s="127"/>
      <c r="I33" s="127"/>
      <c r="J33" s="127"/>
      <c r="K33" s="149">
        <f>(K14*$E14+K21*$E21+K29*$E29)/100</f>
        <v>73.054490666457937</v>
      </c>
      <c r="L33" s="146">
        <f>(L14*$E14+L21*$E21+L29*$E29)/100</f>
        <v>67.044083480443717</v>
      </c>
      <c r="M33" s="146">
        <f>(M14*$E14+M21*$E21+M29*$E29)/100</f>
        <v>76.023554074231527</v>
      </c>
      <c r="N33" s="147">
        <f>(N14*$E14+N21*$E21+N29*$E29)/100</f>
        <v>37.568259013894064</v>
      </c>
      <c r="R33" s="66"/>
      <c r="S33" s="66"/>
    </row>
    <row r="34" spans="2:19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R34" s="66"/>
      <c r="S34" s="66"/>
    </row>
    <row r="35" spans="2:19" x14ac:dyDescent="0.2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R35" s="66"/>
      <c r="S35" s="66"/>
    </row>
  </sheetData>
  <phoneticPr fontId="5" type="noConversion"/>
  <pageMargins left="0.75" right="0.57999999999999996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</vt:lpstr>
      <vt:lpstr>A1</vt:lpstr>
      <vt:lpstr>A2</vt:lpstr>
      <vt:lpstr>B1</vt:lpstr>
      <vt:lpstr>'A2'!_ftnref1</vt:lpstr>
      <vt:lpstr>'A2'!OLE_LINK1</vt:lpstr>
    </vt:vector>
  </TitlesOfParts>
  <Company>Paul Scherrer Institut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PSIUser</dc:creator>
  <cp:lastModifiedBy>Zhang Xiaojin</cp:lastModifiedBy>
  <dcterms:created xsi:type="dcterms:W3CDTF">2005-04-08T15:28:19Z</dcterms:created>
  <dcterms:modified xsi:type="dcterms:W3CDTF">2016-12-06T09:08:39Z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